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D5E0CD37-C30A-4F6C-92F8-1F8C53A9283A}" xr6:coauthVersionLast="47" xr6:coauthVersionMax="47" xr10:uidLastSave="{00000000-0000-0000-0000-000000000000}"/>
  <bookViews>
    <workbookView xWindow="42410" yWindow="1740" windowWidth="24290" windowHeight="18210" activeTab="3" xr2:uid="{00000000-000D-0000-FFFF-FFFF00000000}"/>
  </bookViews>
  <sheets>
    <sheet name="BEVgrowth" sheetId="1" r:id="rId1"/>
    <sheet name="BEVvalue" sheetId="3" r:id="rId2"/>
    <sheet name="TeslaBYDsales" sheetId="2" r:id="rId3"/>
    <sheet name="Top5GlobalBEVsell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" i="1" l="1"/>
  <c r="V18" i="1"/>
  <c r="V19" i="1"/>
  <c r="V20" i="1"/>
  <c r="V21" i="1"/>
  <c r="V22" i="1"/>
  <c r="V23" i="1"/>
  <c r="V24" i="1"/>
  <c r="V25" i="1"/>
  <c r="V26" i="1"/>
  <c r="V27" i="1"/>
  <c r="V28" i="1"/>
  <c r="V29" i="1"/>
  <c r="V16" i="1"/>
  <c r="D19" i="1"/>
  <c r="S19" i="1"/>
  <c r="S47" i="2"/>
  <c r="T47" i="2"/>
  <c r="S48" i="2"/>
  <c r="T48" i="2"/>
  <c r="J47" i="2"/>
  <c r="J48" i="2"/>
  <c r="J46" i="2"/>
  <c r="T46" i="2"/>
  <c r="S46" i="2"/>
  <c r="R48" i="2"/>
  <c r="O19" i="1"/>
  <c r="S18" i="1"/>
  <c r="U18" i="1" s="1"/>
  <c r="S17" i="1"/>
  <c r="U17" i="1" s="1"/>
  <c r="S16" i="1"/>
  <c r="T34" i="2"/>
  <c r="T35" i="2"/>
  <c r="T36" i="2"/>
  <c r="T37" i="2"/>
  <c r="T38" i="2"/>
  <c r="T39" i="2"/>
  <c r="T40" i="2"/>
  <c r="T41" i="2"/>
  <c r="T42" i="2"/>
  <c r="T43" i="2"/>
  <c r="T44" i="2"/>
  <c r="T45" i="2"/>
  <c r="T33" i="2"/>
  <c r="N13" i="2"/>
  <c r="H13" i="2"/>
  <c r="E14" i="4"/>
  <c r="F10" i="4" s="1"/>
  <c r="A1" i="4"/>
  <c r="A3" i="4"/>
  <c r="A4" i="4"/>
  <c r="T31" i="1" l="1"/>
  <c r="T19" i="1"/>
  <c r="F9" i="4"/>
  <c r="F13" i="4"/>
  <c r="F12" i="4"/>
  <c r="F11" i="4"/>
  <c r="T17" i="1"/>
  <c r="U16" i="1"/>
  <c r="T18" i="1"/>
  <c r="A1" i="2"/>
  <c r="A3" i="2"/>
  <c r="A4" i="2"/>
  <c r="A1" i="3"/>
  <c r="A2" i="3"/>
  <c r="A3" i="3"/>
  <c r="A4" i="3"/>
  <c r="S20" i="1" l="1"/>
  <c r="S38" i="2"/>
  <c r="S39" i="2"/>
  <c r="S40" i="2"/>
  <c r="J38" i="2"/>
  <c r="J39" i="2"/>
  <c r="J40" i="2"/>
  <c r="J41" i="2"/>
  <c r="J42" i="2"/>
  <c r="J43" i="2"/>
  <c r="J44" i="2"/>
  <c r="J45" i="2"/>
  <c r="J37" i="2"/>
  <c r="I48" i="2"/>
  <c r="R32" i="2"/>
  <c r="R28" i="2"/>
  <c r="R24" i="2"/>
  <c r="R20" i="2"/>
  <c r="N33" i="2"/>
  <c r="N34" i="2"/>
  <c r="N35" i="2"/>
  <c r="N36" i="2"/>
  <c r="N37" i="2"/>
  <c r="N38" i="2"/>
  <c r="N39" i="2"/>
  <c r="S43" i="2" s="1"/>
  <c r="N40" i="2"/>
  <c r="S44" i="2" s="1"/>
  <c r="N41" i="2"/>
  <c r="N42" i="2"/>
  <c r="S42" i="2" s="1"/>
  <c r="N43" i="2"/>
  <c r="N44" i="2"/>
  <c r="N46" i="2"/>
  <c r="N45" i="2"/>
  <c r="P24" i="3"/>
  <c r="Q24" i="3" s="1"/>
  <c r="P25" i="3"/>
  <c r="Q25" i="3" s="1"/>
  <c r="P26" i="3"/>
  <c r="Q26" i="3" s="1"/>
  <c r="P27" i="3"/>
  <c r="Q27" i="3" s="1"/>
  <c r="P28" i="3"/>
  <c r="Q28" i="3" s="1"/>
  <c r="P23" i="3"/>
  <c r="Q23" i="3" s="1"/>
  <c r="L43" i="3"/>
  <c r="H43" i="3"/>
  <c r="E43" i="3"/>
  <c r="M28" i="3"/>
  <c r="M23" i="3"/>
  <c r="K30" i="3"/>
  <c r="K31" i="3" s="1"/>
  <c r="K32" i="3" s="1"/>
  <c r="K33" i="3" s="1"/>
  <c r="K34" i="3" s="1"/>
  <c r="K35" i="3" s="1"/>
  <c r="K36" i="3" s="1"/>
  <c r="K37" i="3" s="1"/>
  <c r="K38" i="3" s="1"/>
  <c r="K39" i="3" s="1"/>
  <c r="L29" i="3"/>
  <c r="L27" i="3"/>
  <c r="L28" i="3"/>
  <c r="L26" i="3"/>
  <c r="L25" i="3"/>
  <c r="L24" i="3"/>
  <c r="C43" i="3"/>
  <c r="D30" i="3"/>
  <c r="D31" i="3" s="1"/>
  <c r="B30" i="3"/>
  <c r="B31" i="3" s="1"/>
  <c r="G29" i="3"/>
  <c r="I29" i="3" s="1"/>
  <c r="M29" i="3" s="1"/>
  <c r="F29" i="3"/>
  <c r="E29" i="3"/>
  <c r="C29" i="3"/>
  <c r="J28" i="3"/>
  <c r="I28" i="3"/>
  <c r="H28" i="3"/>
  <c r="F28" i="3"/>
  <c r="E28" i="3"/>
  <c r="C28" i="3"/>
  <c r="J27" i="3"/>
  <c r="I27" i="3"/>
  <c r="M27" i="3" s="1"/>
  <c r="H27" i="3"/>
  <c r="F27" i="3"/>
  <c r="E27" i="3"/>
  <c r="C27" i="3"/>
  <c r="J26" i="3"/>
  <c r="I26" i="3"/>
  <c r="M26" i="3" s="1"/>
  <c r="H26" i="3"/>
  <c r="F26" i="3"/>
  <c r="E26" i="3"/>
  <c r="C26" i="3"/>
  <c r="J25" i="3"/>
  <c r="I25" i="3"/>
  <c r="M25" i="3" s="1"/>
  <c r="H25" i="3"/>
  <c r="F25" i="3"/>
  <c r="E25" i="3"/>
  <c r="C25" i="3"/>
  <c r="J24" i="3"/>
  <c r="I24" i="3"/>
  <c r="M24" i="3" s="1"/>
  <c r="H24" i="3"/>
  <c r="F24" i="3"/>
  <c r="E24" i="3"/>
  <c r="C24" i="3"/>
  <c r="J23" i="3"/>
  <c r="I23" i="3"/>
  <c r="F23" i="3"/>
  <c r="G31" i="1"/>
  <c r="E31" i="1"/>
  <c r="J13" i="1"/>
  <c r="J14" i="1"/>
  <c r="J15" i="1"/>
  <c r="J16" i="1"/>
  <c r="J17" i="1"/>
  <c r="J18" i="1"/>
  <c r="J12" i="1"/>
  <c r="F19" i="1"/>
  <c r="D20" i="1"/>
  <c r="H13" i="1"/>
  <c r="H14" i="1"/>
  <c r="H15" i="1"/>
  <c r="H16" i="1"/>
  <c r="H17" i="1"/>
  <c r="H18" i="1"/>
  <c r="H12" i="1"/>
  <c r="E18" i="1"/>
  <c r="I44" i="2"/>
  <c r="O18" i="1" s="1"/>
  <c r="I40" i="2"/>
  <c r="O17" i="1" s="1"/>
  <c r="I36" i="2"/>
  <c r="O16" i="1" s="1"/>
  <c r="Q16" i="1" s="1"/>
  <c r="I32" i="2"/>
  <c r="O15" i="1" s="1"/>
  <c r="Q15" i="1" s="1"/>
  <c r="I28" i="2"/>
  <c r="O14" i="1" s="1"/>
  <c r="Q14" i="1" s="1"/>
  <c r="I24" i="2"/>
  <c r="O13" i="1" s="1"/>
  <c r="Q13" i="1" s="1"/>
  <c r="I20" i="2"/>
  <c r="O12" i="1" s="1"/>
  <c r="Q12" i="1" s="1"/>
  <c r="E17" i="1"/>
  <c r="E16" i="1"/>
  <c r="E15" i="1"/>
  <c r="E14" i="1"/>
  <c r="E13" i="1"/>
  <c r="Q18" i="1" l="1"/>
  <c r="P19" i="1"/>
  <c r="U20" i="1"/>
  <c r="U19" i="1"/>
  <c r="S21" i="1"/>
  <c r="R40" i="2"/>
  <c r="R44" i="2"/>
  <c r="S37" i="2"/>
  <c r="S45" i="2"/>
  <c r="S41" i="2"/>
  <c r="R36" i="2"/>
  <c r="L44" i="3"/>
  <c r="K40" i="3"/>
  <c r="H19" i="1"/>
  <c r="I19" i="1" s="1"/>
  <c r="K31" i="1"/>
  <c r="F30" i="3"/>
  <c r="L45" i="3"/>
  <c r="J29" i="3"/>
  <c r="G30" i="3"/>
  <c r="D32" i="3"/>
  <c r="F31" i="3"/>
  <c r="B32" i="3"/>
  <c r="P31" i="1"/>
  <c r="D21" i="1"/>
  <c r="D22" i="1" s="1"/>
  <c r="D23" i="1" s="1"/>
  <c r="D24" i="1" s="1"/>
  <c r="D25" i="1" s="1"/>
  <c r="D26" i="1" s="1"/>
  <c r="D27" i="1" s="1"/>
  <c r="D28" i="1" s="1"/>
  <c r="D29" i="1" s="1"/>
  <c r="F29" i="1" s="1"/>
  <c r="K14" i="1"/>
  <c r="F20" i="1"/>
  <c r="J20" i="1" s="1"/>
  <c r="K13" i="1"/>
  <c r="K15" i="1"/>
  <c r="K16" i="1"/>
  <c r="K17" i="1"/>
  <c r="I13" i="1"/>
  <c r="K18" i="1"/>
  <c r="I14" i="1"/>
  <c r="J19" i="1"/>
  <c r="K19" i="1" s="1"/>
  <c r="I16" i="1"/>
  <c r="I15" i="1"/>
  <c r="I17" i="1"/>
  <c r="I18" i="1"/>
  <c r="P17" i="1"/>
  <c r="P14" i="1"/>
  <c r="Q17" i="1"/>
  <c r="P18" i="1"/>
  <c r="P13" i="1"/>
  <c r="P16" i="1"/>
  <c r="P15" i="1"/>
  <c r="U21" i="1" l="1"/>
  <c r="S22" i="1"/>
  <c r="U22" i="1" s="1"/>
  <c r="H20" i="1"/>
  <c r="I20" i="1" s="1"/>
  <c r="K20" i="1"/>
  <c r="J29" i="1"/>
  <c r="F21" i="1"/>
  <c r="J21" i="1" s="1"/>
  <c r="K21" i="1" s="1"/>
  <c r="H29" i="1"/>
  <c r="G31" i="3"/>
  <c r="I30" i="3"/>
  <c r="M30" i="3" s="1"/>
  <c r="J30" i="3"/>
  <c r="B33" i="3"/>
  <c r="D33" i="3"/>
  <c r="F32" i="3"/>
  <c r="E33" i="1"/>
  <c r="E32" i="1"/>
  <c r="O20" i="1"/>
  <c r="Q19" i="1"/>
  <c r="G14" i="1"/>
  <c r="G15" i="1"/>
  <c r="G16" i="1"/>
  <c r="G17" i="1"/>
  <c r="G18" i="1"/>
  <c r="G13" i="1"/>
  <c r="S23" i="1" l="1"/>
  <c r="U23" i="1" s="1"/>
  <c r="H21" i="1"/>
  <c r="I21" i="1" s="1"/>
  <c r="F22" i="1"/>
  <c r="J22" i="1" s="1"/>
  <c r="K22" i="1" s="1"/>
  <c r="G32" i="3"/>
  <c r="J31" i="3"/>
  <c r="I31" i="3"/>
  <c r="M31" i="3" s="1"/>
  <c r="B34" i="3"/>
  <c r="F33" i="3"/>
  <c r="D34" i="3"/>
  <c r="Q20" i="1"/>
  <c r="O21" i="1"/>
  <c r="F23" i="1" l="1"/>
  <c r="J23" i="1" s="1"/>
  <c r="K23" i="1" s="1"/>
  <c r="H22" i="1"/>
  <c r="I22" i="1" s="1"/>
  <c r="S24" i="1"/>
  <c r="U24" i="1" s="1"/>
  <c r="G33" i="3"/>
  <c r="J32" i="3"/>
  <c r="I32" i="3"/>
  <c r="M32" i="3" s="1"/>
  <c r="B35" i="3"/>
  <c r="D35" i="3"/>
  <c r="F34" i="3"/>
  <c r="O22" i="1"/>
  <c r="Q21" i="1"/>
  <c r="H23" i="1" l="1"/>
  <c r="I23" i="1" s="1"/>
  <c r="F24" i="1"/>
  <c r="J24" i="1" s="1"/>
  <c r="K24" i="1" s="1"/>
  <c r="S25" i="1"/>
  <c r="U25" i="1" s="1"/>
  <c r="G34" i="3"/>
  <c r="J33" i="3"/>
  <c r="I33" i="3"/>
  <c r="M33" i="3" s="1"/>
  <c r="B36" i="3"/>
  <c r="F35" i="3"/>
  <c r="D36" i="3"/>
  <c r="H24" i="1"/>
  <c r="F25" i="1"/>
  <c r="J25" i="1" s="1"/>
  <c r="O23" i="1"/>
  <c r="Q22" i="1"/>
  <c r="K25" i="1" l="1"/>
  <c r="I24" i="1"/>
  <c r="S26" i="1"/>
  <c r="U26" i="1" s="1"/>
  <c r="G35" i="3"/>
  <c r="J34" i="3"/>
  <c r="I34" i="3"/>
  <c r="M34" i="3" s="1"/>
  <c r="B37" i="3"/>
  <c r="D37" i="3"/>
  <c r="F36" i="3"/>
  <c r="H25" i="1"/>
  <c r="I25" i="1" s="1"/>
  <c r="F26" i="1"/>
  <c r="O24" i="1"/>
  <c r="Q23" i="1"/>
  <c r="J26" i="1" l="1"/>
  <c r="K26" i="1" s="1"/>
  <c r="F27" i="1"/>
  <c r="F28" i="1" s="1"/>
  <c r="S27" i="1"/>
  <c r="U27" i="1" s="1"/>
  <c r="G36" i="3"/>
  <c r="J35" i="3"/>
  <c r="I35" i="3"/>
  <c r="M35" i="3" s="1"/>
  <c r="B38" i="3"/>
  <c r="D38" i="3"/>
  <c r="F37" i="3"/>
  <c r="J27" i="1"/>
  <c r="H26" i="1"/>
  <c r="I26" i="1" s="1"/>
  <c r="O25" i="1"/>
  <c r="Q24" i="1"/>
  <c r="G29" i="1" l="1"/>
  <c r="H28" i="1"/>
  <c r="I29" i="1" s="1"/>
  <c r="G32" i="1"/>
  <c r="J28" i="1"/>
  <c r="G33" i="1"/>
  <c r="S28" i="1"/>
  <c r="G37" i="3"/>
  <c r="J36" i="3"/>
  <c r="I36" i="3"/>
  <c r="M36" i="3" s="1"/>
  <c r="B39" i="3"/>
  <c r="B40" i="3" s="1"/>
  <c r="F38" i="3"/>
  <c r="K27" i="1"/>
  <c r="H27" i="1"/>
  <c r="O26" i="1"/>
  <c r="Q25" i="1"/>
  <c r="U28" i="1" l="1"/>
  <c r="T33" i="1"/>
  <c r="K33" i="1"/>
  <c r="K32" i="1"/>
  <c r="K28" i="1"/>
  <c r="K29" i="1"/>
  <c r="T32" i="1"/>
  <c r="S29" i="1"/>
  <c r="U29" i="1" s="1"/>
  <c r="D40" i="3"/>
  <c r="G38" i="3"/>
  <c r="J37" i="3"/>
  <c r="I37" i="3"/>
  <c r="M37" i="3" s="1"/>
  <c r="D39" i="3"/>
  <c r="C44" i="3"/>
  <c r="C45" i="3"/>
  <c r="I28" i="1"/>
  <c r="I27" i="1"/>
  <c r="O27" i="1"/>
  <c r="Q26" i="1"/>
  <c r="F40" i="3" l="1"/>
  <c r="E40" i="3"/>
  <c r="G39" i="3"/>
  <c r="J38" i="3"/>
  <c r="I38" i="3"/>
  <c r="M38" i="3" s="1"/>
  <c r="E39" i="3"/>
  <c r="E44" i="3"/>
  <c r="F39" i="3"/>
  <c r="E45" i="3"/>
  <c r="O28" i="1"/>
  <c r="O29" i="1" s="1"/>
  <c r="Q29" i="1" s="1"/>
  <c r="Q27" i="1"/>
  <c r="I39" i="3" l="1"/>
  <c r="M39" i="3" s="1"/>
  <c r="G40" i="3"/>
  <c r="H45" i="3"/>
  <c r="H44" i="3"/>
  <c r="J39" i="3"/>
  <c r="Q28" i="1"/>
  <c r="P32" i="1"/>
  <c r="P33" i="1"/>
  <c r="I40" i="3" l="1"/>
  <c r="M40" i="3" s="1"/>
  <c r="J40" i="3"/>
</calcChain>
</file>

<file path=xl/sharedStrings.xml><?xml version="1.0" encoding="utf-8"?>
<sst xmlns="http://schemas.openxmlformats.org/spreadsheetml/2006/main" count="602" uniqueCount="162">
  <si>
    <t>Year</t>
  </si>
  <si>
    <t xml:space="preserve">Annual </t>
  </si>
  <si>
    <t>growth</t>
  </si>
  <si>
    <t>globally</t>
  </si>
  <si>
    <t>Tesla sales</t>
  </si>
  <si>
    <t>Q1 2016</t>
  </si>
  <si>
    <t>Q2 2016</t>
  </si>
  <si>
    <t>Q3 2016</t>
  </si>
  <si>
    <t>Q1 2017</t>
  </si>
  <si>
    <t>~13,450</t>
  </si>
  <si>
    <t>~11,550</t>
  </si>
  <si>
    <t>Q2 2017</t>
  </si>
  <si>
    <t>~12,000</t>
  </si>
  <si>
    <t>~10,000</t>
  </si>
  <si>
    <t>Q3 2017</t>
  </si>
  <si>
    <t>Q4 2017</t>
  </si>
  <si>
    <t>~15,200</t>
  </si>
  <si>
    <t>~13,120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</si>
  <si>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</si>
  <si>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</si>
  <si>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</si>
  <si>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</si>
  <si>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</si>
  <si>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</si>
  <si>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</si>
  <si>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</si>
  <si>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</si>
  <si>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</si>
  <si>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</si>
  <si>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</si>
  <si>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</si>
  <si>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</si>
  <si>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</si>
  <si>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</si>
  <si>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</si>
  <si>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</si>
  <si>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</si>
  <si>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Quarter</t>
  </si>
  <si>
    <t>Cumulative</t>
  </si>
  <si>
    <t>production</t>
  </si>
  <si>
    <t>Total</t>
  </si>
  <si>
    <t>Model S</t>
  </si>
  <si>
    <t>sales</t>
  </si>
  <si>
    <t>Model X</t>
  </si>
  <si>
    <t>Model 3</t>
  </si>
  <si>
    <t>Model Y</t>
  </si>
  <si>
    <t>sales[a]</t>
  </si>
  <si>
    <t>sales[b]</t>
  </si>
  <si>
    <t>Annual sales</t>
  </si>
  <si>
    <t>Q4 2016</t>
  </si>
  <si>
    <t xml:space="preserve">BEV share of </t>
  </si>
  <si>
    <t>global market</t>
  </si>
  <si>
    <t xml:space="preserve">Tesla share of </t>
  </si>
  <si>
    <t>Change in BEV</t>
  </si>
  <si>
    <t>share of global</t>
  </si>
  <si>
    <t>market</t>
  </si>
  <si>
    <t>Annual growth</t>
  </si>
  <si>
    <t>2016 to 2022</t>
  </si>
  <si>
    <t>ICE vehicles</t>
  </si>
  <si>
    <t>sold globally</t>
  </si>
  <si>
    <t>2016 to 2032</t>
  </si>
  <si>
    <t>commercial</t>
  </si>
  <si>
    <t>Battery electric</t>
  </si>
  <si>
    <t>vehicles sold</t>
  </si>
  <si>
    <t>2022 to 2032</t>
  </si>
  <si>
    <t>of passenger and</t>
  </si>
  <si>
    <t>Global auto sales</t>
  </si>
  <si>
    <t xml:space="preserve">Average </t>
  </si>
  <si>
    <t>selling  price</t>
  </si>
  <si>
    <t>of BEV</t>
  </si>
  <si>
    <t xml:space="preserve">Value of </t>
  </si>
  <si>
    <t>global sales</t>
  </si>
  <si>
    <t>in billion $</t>
  </si>
  <si>
    <t>Value of global battery electric vehicle sales</t>
  </si>
  <si>
    <t>Global</t>
  </si>
  <si>
    <t>sales to</t>
  </si>
  <si>
    <t>GDP %</t>
  </si>
  <si>
    <t>sales $B</t>
  </si>
  <si>
    <t>BEV sales</t>
  </si>
  <si>
    <t>global GDP</t>
  </si>
  <si>
    <t>current $B</t>
  </si>
  <si>
    <t>Source for average new vehicle selling price in the US from 2016 to 2021: https://www.statista.com/statistics/274927/new-vehicle-average-selling-price-in-the-united-states/</t>
  </si>
  <si>
    <t>Source for global GDP in USD from 2016 to 2022: https://www.statista.com/statistics/268750/global-gross-domestic-product-gdp/</t>
  </si>
  <si>
    <t>Global oil</t>
  </si>
  <si>
    <t>Source for global oil production 2016 to 2022: https://www.statista.com/statistics/265203/global-oil-production-since-in-barrels-per-day/</t>
  </si>
  <si>
    <t>M barrels d.</t>
  </si>
  <si>
    <t xml:space="preserve">Price of </t>
  </si>
  <si>
    <t>oil USD</t>
  </si>
  <si>
    <t>barrel</t>
  </si>
  <si>
    <t>Source price of oil per barrel dec 2016 to 2021: https://www.macrotrends.net/1369/crude-oil-price-history-chart</t>
  </si>
  <si>
    <t>oil prod.</t>
  </si>
  <si>
    <t>Value ANN</t>
  </si>
  <si>
    <t>billion USD</t>
  </si>
  <si>
    <t>-</t>
  </si>
  <si>
    <t>https://en.wikipedia.org/wiki/History_of_Tesla,_Inc.#Timeline_of_production_and_sales</t>
  </si>
  <si>
    <t>Sources</t>
  </si>
  <si>
    <t>Q2 2023</t>
  </si>
  <si>
    <t>Q3 2023</t>
  </si>
  <si>
    <t>Q1 2023</t>
  </si>
  <si>
    <t>Q4 2022</t>
  </si>
  <si>
    <t>1stMDinQrt</t>
  </si>
  <si>
    <t>2ndMDinQrt</t>
  </si>
  <si>
    <t>3rdMDinQrt</t>
  </si>
  <si>
    <t>https://cnevpost.com/2023/07/02/byd-sells-253046-nevs-jun/</t>
  </si>
  <si>
    <t>BYD total sales (BEVs only)</t>
  </si>
  <si>
    <t>Tesla total sales (BEVs only)</t>
  </si>
  <si>
    <t>Sales</t>
  </si>
  <si>
    <t>Q4 2023</t>
  </si>
  <si>
    <t>Qtr sales</t>
  </si>
  <si>
    <t>Proprietary. © H. Mathiesen. This material can be used by others free of charge provided that the author H. Mathiesen is attributed and a clickable link is made visible to the location of used material on www.hmexperience.dk</t>
  </si>
  <si>
    <t>Sources to all information used in this spreadsheet can also be found in associated PowerPoint presentation located also at www.hmexperience.dk</t>
  </si>
  <si>
    <t>Tesla and BYD’s epic battle for BEV supremacy. Who is winning? #30</t>
  </si>
  <si>
    <t xml:space="preserve">Global vehicle </t>
  </si>
  <si>
    <t>sales all kinds</t>
  </si>
  <si>
    <t>BEV and ICEV</t>
  </si>
  <si>
    <t>BEVs sold</t>
  </si>
  <si>
    <t>BEV global</t>
  </si>
  <si>
    <t>share</t>
  </si>
  <si>
    <t xml:space="preserve">market 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</si>
  <si>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</si>
  <si>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Sources: Follow link below video to download spreadsheet containing clickable sources</t>
  </si>
  <si>
    <t xml:space="preserve">Tesla </t>
  </si>
  <si>
    <t xml:space="preserve">BYD </t>
  </si>
  <si>
    <t xml:space="preserve">SAIC </t>
  </si>
  <si>
    <t xml:space="preserve">Volkswagen Group </t>
  </si>
  <si>
    <t xml:space="preserve">Geely -Volvo </t>
  </si>
  <si>
    <t>Vehicle maker</t>
  </si>
  <si>
    <t>% of global</t>
  </si>
  <si>
    <t>Global BEV sales</t>
  </si>
  <si>
    <t>https://www.ev-volumes.com/country/total-world-plug-in-vehicle-volumes/</t>
  </si>
  <si>
    <t>Global battery electric vehicle (BEV) sales</t>
  </si>
  <si>
    <t>https://cleantechnica.com/2023/02/07/tesla-1-in-world-bev-sales-by-big-margin-2022-world-ev-sales-report/</t>
  </si>
  <si>
    <t>Growth since Q1_2020</t>
  </si>
  <si>
    <t xml:space="preserve">BYD sales in % </t>
  </si>
  <si>
    <t>of Tesla sales</t>
  </si>
  <si>
    <t>ICE market</t>
  </si>
  <si>
    <t>BYD sales</t>
  </si>
  <si>
    <t xml:space="preserve">BYD share of </t>
  </si>
  <si>
    <t>BEV market</t>
  </si>
  <si>
    <t>Tesla and BYD global BEV sales growth</t>
  </si>
  <si>
    <t>2020 to 2022</t>
  </si>
  <si>
    <t>2020 to 2032</t>
  </si>
  <si>
    <t>estimate</t>
  </si>
  <si>
    <t>BYD say min 3 million hopefully 3.6 million sales for 2023 of which 50% are BEV</t>
  </si>
  <si>
    <t>Source</t>
  </si>
  <si>
    <t>Tesla officially guide sales of 1.8 million in 2023 but I am optimistic they will beat that</t>
  </si>
  <si>
    <t>https://www.statista.com/outlook/mmo/electric-vehicles/worldwide#unit-sales</t>
  </si>
  <si>
    <t>calculated</t>
  </si>
  <si>
    <t>my est</t>
  </si>
  <si>
    <t>https://www.just-auto.com/analysis/global-vehicle-market-sales-rate-falls-back/#:~:text=A%20global%20market%20forecast%20at,in%20Europe%20and%20North%20America.</t>
  </si>
  <si>
    <t>https://www.oica.net/category/sales-statistics/</t>
  </si>
  <si>
    <t>https://en.wikipedia.org/wiki/Automotive_industry#By_year</t>
  </si>
  <si>
    <t>Annualized growth</t>
  </si>
  <si>
    <t>Other sources not used</t>
  </si>
  <si>
    <t xml:space="preserve">Source for global sales 2019 to 2021: </t>
  </si>
  <si>
    <t xml:space="preserve">Source for global sales 2022: </t>
  </si>
  <si>
    <t>my est see also https://www.cnbc.com/2022/12/27/why-2023-could-be-another-difficult-year-for-the-auto-industry.html</t>
  </si>
  <si>
    <t>Follow link</t>
  </si>
  <si>
    <t>Global sales</t>
  </si>
  <si>
    <t>that are not</t>
  </si>
  <si>
    <t>Tesla/BYD</t>
  </si>
  <si>
    <t>Top 5 global BEV producers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</si>
</sst>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/>
    <xf numFmtId="10" fontId="2" fillId="0" borderId="0" xfId="0" applyNumberFormat="1" applyFont="1"/>
    <xf numFmtId="0" fontId="2" fillId="2" borderId="0" xfId="0" applyFont="1" applyFill="1"/>
    <xf numFmtId="3" fontId="0" fillId="3" borderId="0" xfId="0" applyNumberFormat="1" applyFill="1"/>
    <xf numFmtId="10" fontId="0" fillId="3" borderId="0" xfId="0" applyNumberFormat="1" applyFill="1"/>
    <xf numFmtId="0" fontId="2" fillId="3" borderId="0" xfId="0" applyFont="1" applyFill="1"/>
    <xf numFmtId="0" fontId="2" fillId="0" borderId="0" xfId="0" applyFont="1" applyAlignment="1">
      <alignment horizontal="right"/>
    </xf>
    <xf numFmtId="164" fontId="0" fillId="0" borderId="0" xfId="0" applyNumberFormat="1"/>
    <xf numFmtId="164" fontId="0" fillId="3" borderId="0" xfId="0" applyNumberFormat="1" applyFill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1"/>
    <xf numFmtId="3" fontId="2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0" borderId="0" xfId="0" applyFont="1"/>
    <xf numFmtId="0" fontId="2" fillId="7" borderId="0" xfId="0" applyFont="1" applyFill="1"/>
    <xf numFmtId="0" fontId="2" fillId="4" borderId="0" xfId="0" applyFont="1" applyFill="1"/>
    <xf numFmtId="0" fontId="2" fillId="5" borderId="3" xfId="0" applyFont="1" applyFill="1" applyBorder="1"/>
    <xf numFmtId="0" fontId="2" fillId="5" borderId="2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0" xfId="0" applyFont="1" applyFill="1"/>
    <xf numFmtId="0" fontId="2" fillId="5" borderId="6" xfId="0" applyFont="1" applyFill="1" applyBorder="1"/>
    <xf numFmtId="0" fontId="2" fillId="0" borderId="5" xfId="0" applyFont="1" applyBorder="1"/>
    <xf numFmtId="37" fontId="0" fillId="0" borderId="0" xfId="0" applyNumberFormat="1"/>
    <xf numFmtId="10" fontId="0" fillId="0" borderId="6" xfId="0" applyNumberFormat="1" applyBorder="1"/>
    <xf numFmtId="0" fontId="2" fillId="6" borderId="5" xfId="0" applyFont="1" applyFill="1" applyBorder="1"/>
    <xf numFmtId="3" fontId="0" fillId="6" borderId="0" xfId="0" applyNumberFormat="1" applyFill="1"/>
    <xf numFmtId="10" fontId="0" fillId="6" borderId="0" xfId="0" applyNumberFormat="1" applyFill="1"/>
    <xf numFmtId="37" fontId="0" fillId="6" borderId="0" xfId="0" applyNumberFormat="1" applyFill="1"/>
    <xf numFmtId="10" fontId="0" fillId="6" borderId="6" xfId="0" applyNumberFormat="1" applyFill="1" applyBorder="1"/>
    <xf numFmtId="0" fontId="2" fillId="7" borderId="5" xfId="0" applyFont="1" applyFill="1" applyBorder="1"/>
    <xf numFmtId="0" fontId="0" fillId="7" borderId="0" xfId="0" applyFill="1"/>
    <xf numFmtId="0" fontId="0" fillId="7" borderId="6" xfId="0" applyFill="1" applyBorder="1"/>
    <xf numFmtId="0" fontId="2" fillId="7" borderId="5" xfId="0" applyFont="1" applyFill="1" applyBorder="1" applyAlignment="1">
      <alignment horizontal="left"/>
    </xf>
    <xf numFmtId="10" fontId="0" fillId="7" borderId="0" xfId="0" applyNumberFormat="1" applyFill="1"/>
    <xf numFmtId="0" fontId="2" fillId="7" borderId="1" xfId="0" applyFont="1" applyFill="1" applyBorder="1" applyAlignment="1">
      <alignment horizontal="left"/>
    </xf>
    <xf numFmtId="0" fontId="0" fillId="7" borderId="7" xfId="0" applyFill="1" applyBorder="1"/>
    <xf numFmtId="10" fontId="0" fillId="7" borderId="7" xfId="0" applyNumberFormat="1" applyFill="1" applyBorder="1"/>
    <xf numFmtId="0" fontId="0" fillId="7" borderId="8" xfId="0" applyFill="1" applyBorder="1"/>
    <xf numFmtId="0" fontId="2" fillId="8" borderId="0" xfId="0" applyFont="1" applyFill="1"/>
    <xf numFmtId="0" fontId="2" fillId="8" borderId="0" xfId="0" applyFont="1" applyFill="1" applyAlignment="1">
      <alignment horizontal="right"/>
    </xf>
    <xf numFmtId="9" fontId="0" fillId="7" borderId="0" xfId="0" applyNumberFormat="1" applyFill="1"/>
    <xf numFmtId="3" fontId="4" fillId="7" borderId="0" xfId="1" applyNumberFormat="1" applyFill="1"/>
    <xf numFmtId="3" fontId="4" fillId="0" borderId="0" xfId="1" applyNumberFormat="1"/>
    <xf numFmtId="0" fontId="2" fillId="8" borderId="3" xfId="0" applyFont="1" applyFill="1" applyBorder="1"/>
    <xf numFmtId="0" fontId="2" fillId="8" borderId="2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right"/>
    </xf>
    <xf numFmtId="0" fontId="2" fillId="7" borderId="1" xfId="0" applyFont="1" applyFill="1" applyBorder="1"/>
    <xf numFmtId="3" fontId="0" fillId="7" borderId="7" xfId="0" applyNumberFormat="1" applyFill="1" applyBorder="1"/>
    <xf numFmtId="10" fontId="0" fillId="7" borderId="8" xfId="0" applyNumberFormat="1" applyFill="1" applyBorder="1"/>
    <xf numFmtId="0" fontId="1" fillId="4" borderId="0" xfId="0" applyFont="1" applyFill="1"/>
    <xf numFmtId="0" fontId="0" fillId="4" borderId="0" xfId="0" applyFill="1"/>
    <xf numFmtId="2" fontId="0" fillId="0" borderId="0" xfId="0" applyNumberFormat="1"/>
    <xf numFmtId="0" fontId="0" fillId="7" borderId="5" xfId="0" applyFill="1" applyBorder="1"/>
    <xf numFmtId="10" fontId="0" fillId="7" borderId="5" xfId="0" applyNumberFormat="1" applyFill="1" applyBorder="1"/>
    <xf numFmtId="10" fontId="0" fillId="7" borderId="1" xfId="0" applyNumberFormat="1" applyFill="1" applyBorder="1"/>
    <xf numFmtId="0" fontId="0" fillId="0" borderId="5" xfId="0" applyBorder="1"/>
    <xf numFmtId="10" fontId="0" fillId="0" borderId="5" xfId="0" applyNumberFormat="1" applyBorder="1"/>
    <xf numFmtId="0" fontId="2" fillId="0" borderId="6" xfId="0" applyFont="1" applyBorder="1"/>
    <xf numFmtId="0" fontId="0" fillId="0" borderId="6" xfId="0" applyBorder="1"/>
    <xf numFmtId="0" fontId="0" fillId="6" borderId="0" xfId="0" applyFill="1"/>
    <xf numFmtId="3" fontId="2" fillId="6" borderId="0" xfId="0" applyNumberFormat="1" applyFont="1" applyFill="1"/>
    <xf numFmtId="9" fontId="0" fillId="6" borderId="0" xfId="0" applyNumberFormat="1" applyFill="1"/>
    <xf numFmtId="10" fontId="0" fillId="7" borderId="6" xfId="0" applyNumberFormat="1" applyFill="1" applyBorder="1"/>
    <xf numFmtId="0" fontId="2" fillId="5" borderId="10" xfId="0" applyFont="1" applyFill="1" applyBorder="1"/>
    <xf numFmtId="0" fontId="2" fillId="5" borderId="9" xfId="0" applyFont="1" applyFill="1" applyBorder="1"/>
    <xf numFmtId="3" fontId="0" fillId="0" borderId="9" xfId="0" applyNumberFormat="1" applyBorder="1"/>
    <xf numFmtId="3" fontId="0" fillId="7" borderId="9" xfId="0" applyNumberFormat="1" applyFill="1" applyBorder="1"/>
    <xf numFmtId="3" fontId="0" fillId="7" borderId="1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Global vehicle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Gobal sales all kinds BEVs and ICEVs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BEVgrowth!$C$12:$C$29</c:f>
              <c:numCache>
                <c:formatCode>General</c:formatCode>
                <c:ptCount val="1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</c:numCache>
            </c:numRef>
          </c:cat>
          <c:val>
            <c:numRef>
              <c:f>BEVgrowth!$D$12:$D$29</c:f>
              <c:numCache>
                <c:formatCode>#,##0</c:formatCode>
                <c:ptCount val="18"/>
                <c:pt idx="0">
                  <c:v>94976569</c:v>
                </c:pt>
                <c:pt idx="1">
                  <c:v>97302534</c:v>
                </c:pt>
                <c:pt idx="2">
                  <c:v>95634593</c:v>
                </c:pt>
                <c:pt idx="3">
                  <c:v>91227182</c:v>
                </c:pt>
                <c:pt idx="4">
                  <c:v>77621582</c:v>
                </c:pt>
                <c:pt idx="5">
                  <c:v>80145988</c:v>
                </c:pt>
                <c:pt idx="6">
                  <c:v>85016728</c:v>
                </c:pt>
                <c:pt idx="7">
                  <c:v>85016728</c:v>
                </c:pt>
                <c:pt idx="8">
                  <c:v>87567229.840000004</c:v>
                </c:pt>
                <c:pt idx="9">
                  <c:v>90194246.735200003</c:v>
                </c:pt>
                <c:pt idx="10">
                  <c:v>92900074.137256011</c:v>
                </c:pt>
                <c:pt idx="11">
                  <c:v>95687076.361373693</c:v>
                </c:pt>
                <c:pt idx="12">
                  <c:v>98557688.6522149</c:v>
                </c:pt>
                <c:pt idx="13">
                  <c:v>101514419.31178135</c:v>
                </c:pt>
                <c:pt idx="14">
                  <c:v>104559851.89113478</c:v>
                </c:pt>
                <c:pt idx="15">
                  <c:v>107696647.44786882</c:v>
                </c:pt>
                <c:pt idx="16">
                  <c:v>110927546.87130488</c:v>
                </c:pt>
                <c:pt idx="17">
                  <c:v>114255373.27744403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A-4CDE-9089-E7A7E92AB018}"/>
            </c:ext>
          </c:extLst>
        </c:ser>
        <c:ser>
          <c:idx val="1"/>
          <c:order val="1"/>
          <c:tx>
            <c:v>BEV sales only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BEVgrowth!$C$12:$C$29</c:f>
              <c:numCache>
                <c:formatCode>General</c:formatCode>
                <c:ptCount val="1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</c:numCache>
            </c:numRef>
          </c:cat>
          <c:val>
            <c:numRef>
              <c:f>BEVgrowth!$F$12:$F$29</c:f>
              <c:numCache>
                <c:formatCode>#,##0</c:formatCode>
                <c:ptCount val="18"/>
                <c:pt idx="0">
                  <c:v>477700</c:v>
                </c:pt>
                <c:pt idx="1">
                  <c:v>801600</c:v>
                </c:pt>
                <c:pt idx="2">
                  <c:v>1367800</c:v>
                </c:pt>
                <c:pt idx="3">
                  <c:v>1624600</c:v>
                </c:pt>
                <c:pt idx="4">
                  <c:v>2165400</c:v>
                </c:pt>
                <c:pt idx="5">
                  <c:v>4599400</c:v>
                </c:pt>
                <c:pt idx="6">
                  <c:v>7800000</c:v>
                </c:pt>
                <c:pt idx="7">
                  <c:v>11700000</c:v>
                </c:pt>
                <c:pt idx="8">
                  <c:v>17550000</c:v>
                </c:pt>
                <c:pt idx="9">
                  <c:v>26325000</c:v>
                </c:pt>
                <c:pt idx="10">
                  <c:v>35538750</c:v>
                </c:pt>
                <c:pt idx="11">
                  <c:v>45134212.5</c:v>
                </c:pt>
                <c:pt idx="12">
                  <c:v>55515081.375</c:v>
                </c:pt>
                <c:pt idx="13">
                  <c:v>66340522.243125007</c:v>
                </c:pt>
                <c:pt idx="14">
                  <c:v>77618411.024456248</c:v>
                </c:pt>
                <c:pt idx="15">
                  <c:v>89261172.678124681</c:v>
                </c:pt>
                <c:pt idx="16">
                  <c:v>101757736.85306215</c:v>
                </c:pt>
                <c:pt idx="17">
                  <c:v>114255373.27744403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A-4CDE-9089-E7A7E92AB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862287"/>
        <c:axId val="162862767"/>
      </c:barChart>
      <c:catAx>
        <c:axId val="16286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62767"/>
        <c:crosses val="autoZero"/>
        <c:auto val="1"/>
        <c:lblAlgn val="ctr"/>
        <c:lblOffset val="100"/>
        <c:noMultiLvlLbl val="0"/>
      </c:catAx>
      <c:valAx>
        <c:axId val="16286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62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Global vehicle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Tesla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BEVgrowth!$N$16:$N$29</c:f>
              <c:numCache>
                <c:formatCode>General</c:formatCode>
                <c:ptCount val="1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</c:numCache>
            </c:numRef>
          </c:cat>
          <c:val>
            <c:numRef>
              <c:f>BEVgrowth!$O$16:$O$29</c:f>
              <c:numCache>
                <c:formatCode>#,##0</c:formatCode>
                <c:ptCount val="14"/>
                <c:pt idx="0">
                  <c:v>499647</c:v>
                </c:pt>
                <c:pt idx="1">
                  <c:v>936222</c:v>
                </c:pt>
                <c:pt idx="2">
                  <c:v>1313851</c:v>
                </c:pt>
                <c:pt idx="3">
                  <c:v>1939015</c:v>
                </c:pt>
                <c:pt idx="4">
                  <c:v>2908522.5</c:v>
                </c:pt>
                <c:pt idx="5">
                  <c:v>4362783.75</c:v>
                </c:pt>
                <c:pt idx="6">
                  <c:v>6544175.625</c:v>
                </c:pt>
                <c:pt idx="7">
                  <c:v>9816263.4375</c:v>
                </c:pt>
                <c:pt idx="8">
                  <c:v>13742768.8125</c:v>
                </c:pt>
                <c:pt idx="9">
                  <c:v>16491322.574999999</c:v>
                </c:pt>
                <c:pt idx="10">
                  <c:v>18965020.961249996</c:v>
                </c:pt>
                <c:pt idx="11">
                  <c:v>19533971.590087496</c:v>
                </c:pt>
                <c:pt idx="12">
                  <c:v>20119990.737790123</c:v>
                </c:pt>
                <c:pt idx="13">
                  <c:v>20723590.459923826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D-48F7-B104-BD7228E91580}"/>
            </c:ext>
          </c:extLst>
        </c:ser>
        <c:ser>
          <c:idx val="1"/>
          <c:order val="1"/>
          <c:tx>
            <c:v>BYD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BEVgrowth!$N$16:$N$29</c:f>
              <c:numCache>
                <c:formatCode>General</c:formatCode>
                <c:ptCount val="1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</c:numCache>
            </c:numRef>
          </c:cat>
          <c:val>
            <c:numRef>
              <c:f>BEVgrowth!$S$16:$S$29</c:f>
              <c:numCache>
                <c:formatCode>#,##0</c:formatCode>
                <c:ptCount val="14"/>
                <c:pt idx="0">
                  <c:v>133000</c:v>
                </c:pt>
                <c:pt idx="1">
                  <c:v>325000</c:v>
                </c:pt>
                <c:pt idx="2">
                  <c:v>910000</c:v>
                </c:pt>
                <c:pt idx="3">
                  <c:v>1597000</c:v>
                </c:pt>
                <c:pt idx="4">
                  <c:v>2395500</c:v>
                </c:pt>
                <c:pt idx="5">
                  <c:v>3593250</c:v>
                </c:pt>
                <c:pt idx="6">
                  <c:v>5389875</c:v>
                </c:pt>
                <c:pt idx="7">
                  <c:v>8084812.5</c:v>
                </c:pt>
                <c:pt idx="8">
                  <c:v>11318737.5</c:v>
                </c:pt>
                <c:pt idx="9">
                  <c:v>13582485</c:v>
                </c:pt>
                <c:pt idx="10">
                  <c:v>15619857.749999998</c:v>
                </c:pt>
                <c:pt idx="11">
                  <c:v>16088453.482499998</c:v>
                </c:pt>
                <c:pt idx="12">
                  <c:v>16571107.086974999</c:v>
                </c:pt>
                <c:pt idx="13">
                  <c:v>17068240.299584251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D-48F7-B104-BD7228E91580}"/>
            </c:ext>
          </c:extLst>
        </c:ser>
        <c:ser>
          <c:idx val="2"/>
          <c:order val="2"/>
          <c:tx>
            <c:v>NonTesla &amp; BYD sales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BEVgrowth!$N$16:$N$29</c:f>
              <c:numCache>
                <c:formatCode>General</c:formatCode>
                <c:ptCount val="1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</c:numCache>
            </c:numRef>
          </c:cat>
          <c:val>
            <c:numRef>
              <c:f>BEVgrowth!$V$16:$V$29</c:f>
              <c:numCache>
                <c:formatCode>#,##0</c:formatCode>
                <c:ptCount val="14"/>
                <c:pt idx="0">
                  <c:v>76988935</c:v>
                </c:pt>
                <c:pt idx="1">
                  <c:v>78884766</c:v>
                </c:pt>
                <c:pt idx="2">
                  <c:v>82792877</c:v>
                </c:pt>
                <c:pt idx="3">
                  <c:v>81480713</c:v>
                </c:pt>
                <c:pt idx="4">
                  <c:v>82263207.340000004</c:v>
                </c:pt>
                <c:pt idx="5">
                  <c:v>82238212.985200003</c:v>
                </c:pt>
                <c:pt idx="6">
                  <c:v>80966023.512256011</c:v>
                </c:pt>
                <c:pt idx="7">
                  <c:v>77786000.423873693</c:v>
                </c:pt>
                <c:pt idx="8">
                  <c:v>73496182.3397149</c:v>
                </c:pt>
                <c:pt idx="9">
                  <c:v>71440611.736781344</c:v>
                </c:pt>
                <c:pt idx="10">
                  <c:v>69974973.179884791</c:v>
                </c:pt>
                <c:pt idx="11">
                  <c:v>72074222.375281319</c:v>
                </c:pt>
                <c:pt idx="12">
                  <c:v>74236449.046539769</c:v>
                </c:pt>
                <c:pt idx="13">
                  <c:v>76463542.517935947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2D-48F7-B104-BD7228E91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60815"/>
        <c:axId val="426659375"/>
      </c:barChart>
      <c:catAx>
        <c:axId val="426660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59375"/>
        <c:crosses val="autoZero"/>
        <c:auto val="1"/>
        <c:lblAlgn val="ctr"/>
        <c:lblOffset val="100"/>
        <c:noMultiLvlLbl val="0"/>
      </c:catAx>
      <c:valAx>
        <c:axId val="42665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6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Global Tesla</a:t>
            </a:r>
            <a:r>
              <a:rPr lang="en-US" baseline="0"/>
              <a:t> &amp; BYD BEV sales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77093670545805E-2"/>
          <c:y val="0.13022222222222227"/>
          <c:w val="0.89482375869445907"/>
          <c:h val="0.71568073221616524"/>
        </c:manualLayout>
      </c:layout>
      <c:barChart>
        <c:barDir val="col"/>
        <c:grouping val="clustered"/>
        <c:varyColors val="0"/>
        <c:ser>
          <c:idx val="0"/>
          <c:order val="0"/>
          <c:tx>
            <c:v>Tesla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TeslaBYDsales!$A$33:$A$48</c:f>
              <c:strCache>
                <c:ptCount val="16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Q1 2021</c:v>
                </c:pt>
                <c:pt idx="5">
                  <c:v>Q2 2021</c:v>
                </c:pt>
                <c:pt idx="6">
                  <c:v>Q3 2021</c:v>
                </c:pt>
                <c:pt idx="7">
                  <c:v>Q4 2021</c:v>
                </c:pt>
                <c:pt idx="8">
                  <c:v>Q1 2022</c:v>
                </c:pt>
                <c:pt idx="9">
                  <c:v>Q2 2022</c:v>
                </c:pt>
                <c:pt idx="10">
                  <c:v>Q3 2022</c:v>
                </c:pt>
                <c:pt idx="11">
                  <c:v>Q4 2022</c:v>
                </c:pt>
                <c:pt idx="12">
                  <c:v>Q1 2023</c:v>
                </c:pt>
                <c:pt idx="13">
                  <c:v>Q2 2023</c:v>
                </c:pt>
                <c:pt idx="14">
                  <c:v>Q3 2023</c:v>
                </c:pt>
                <c:pt idx="15">
                  <c:v>Q4 2023</c:v>
                </c:pt>
              </c:strCache>
            </c:strRef>
          </c:cat>
          <c:val>
            <c:numRef>
              <c:f>TeslaBYDsales!$H$33:$H$48</c:f>
              <c:numCache>
                <c:formatCode>#,##0</c:formatCode>
                <c:ptCount val="16"/>
                <c:pt idx="0">
                  <c:v>88496</c:v>
                </c:pt>
                <c:pt idx="1">
                  <c:v>90891</c:v>
                </c:pt>
                <c:pt idx="2">
                  <c:v>139593</c:v>
                </c:pt>
                <c:pt idx="3">
                  <c:v>180667</c:v>
                </c:pt>
                <c:pt idx="4">
                  <c:v>184877</c:v>
                </c:pt>
                <c:pt idx="5">
                  <c:v>201304</c:v>
                </c:pt>
                <c:pt idx="6">
                  <c:v>241391</c:v>
                </c:pt>
                <c:pt idx="7">
                  <c:v>308650</c:v>
                </c:pt>
                <c:pt idx="8">
                  <c:v>310048</c:v>
                </c:pt>
                <c:pt idx="9">
                  <c:v>254695</c:v>
                </c:pt>
                <c:pt idx="10">
                  <c:v>343830</c:v>
                </c:pt>
                <c:pt idx="11">
                  <c:v>405278</c:v>
                </c:pt>
                <c:pt idx="12">
                  <c:v>422875</c:v>
                </c:pt>
                <c:pt idx="13">
                  <c:v>466140</c:v>
                </c:pt>
                <c:pt idx="14">
                  <c:v>500000</c:v>
                </c:pt>
                <c:pt idx="15">
                  <c:v>550000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0-40DB-ABF0-CB3F731B34D6}"/>
            </c:ext>
          </c:extLst>
        </c:ser>
        <c:ser>
          <c:idx val="1"/>
          <c:order val="1"/>
          <c:tx>
            <c:v>BYD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TeslaBYDsales!$A$33:$A$48</c:f>
              <c:strCache>
                <c:ptCount val="16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Q1 2021</c:v>
                </c:pt>
                <c:pt idx="5">
                  <c:v>Q2 2021</c:v>
                </c:pt>
                <c:pt idx="6">
                  <c:v>Q3 2021</c:v>
                </c:pt>
                <c:pt idx="7">
                  <c:v>Q4 2021</c:v>
                </c:pt>
                <c:pt idx="8">
                  <c:v>Q1 2022</c:v>
                </c:pt>
                <c:pt idx="9">
                  <c:v>Q2 2022</c:v>
                </c:pt>
                <c:pt idx="10">
                  <c:v>Q3 2022</c:v>
                </c:pt>
                <c:pt idx="11">
                  <c:v>Q4 2022</c:v>
                </c:pt>
                <c:pt idx="12">
                  <c:v>Q1 2023</c:v>
                </c:pt>
                <c:pt idx="13">
                  <c:v>Q2 2023</c:v>
                </c:pt>
                <c:pt idx="14">
                  <c:v>Q3 2023</c:v>
                </c:pt>
                <c:pt idx="15">
                  <c:v>Q4 2023</c:v>
                </c:pt>
              </c:strCache>
            </c:strRef>
          </c:cat>
          <c:val>
            <c:numRef>
              <c:f>TeslaBYDsales!$N$33:$N$48</c:f>
              <c:numCache>
                <c:formatCode>#,##0</c:formatCode>
                <c:ptCount val="16"/>
                <c:pt idx="0">
                  <c:v>18000</c:v>
                </c:pt>
                <c:pt idx="1">
                  <c:v>26000</c:v>
                </c:pt>
                <c:pt idx="2">
                  <c:v>35000</c:v>
                </c:pt>
                <c:pt idx="3">
                  <c:v>54000</c:v>
                </c:pt>
                <c:pt idx="4">
                  <c:v>42000</c:v>
                </c:pt>
                <c:pt idx="5">
                  <c:v>57000</c:v>
                </c:pt>
                <c:pt idx="6">
                  <c:v>91000</c:v>
                </c:pt>
                <c:pt idx="7">
                  <c:v>135000</c:v>
                </c:pt>
                <c:pt idx="8">
                  <c:v>142000</c:v>
                </c:pt>
                <c:pt idx="9">
                  <c:v>180000</c:v>
                </c:pt>
                <c:pt idx="10">
                  <c:v>256000</c:v>
                </c:pt>
                <c:pt idx="11">
                  <c:v>332000</c:v>
                </c:pt>
                <c:pt idx="12">
                  <c:v>265000</c:v>
                </c:pt>
                <c:pt idx="13">
                  <c:v>352000</c:v>
                </c:pt>
                <c:pt idx="14">
                  <c:v>430000</c:v>
                </c:pt>
                <c:pt idx="15">
                  <c:v>550000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D0-40DB-ABF0-CB3F731B3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107903"/>
        <c:axId val="645097823"/>
      </c:barChart>
      <c:catAx>
        <c:axId val="645107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097823"/>
        <c:crosses val="autoZero"/>
        <c:auto val="1"/>
        <c:lblAlgn val="ctr"/>
        <c:lblOffset val="100"/>
        <c:noMultiLvlLbl val="0"/>
      </c:catAx>
      <c:valAx>
        <c:axId val="64509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107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352424</xdr:colOff>
      <xdr:row>7</xdr:row>
      <xdr:rowOff>209550</xdr:rowOff>
    </xdr:from>
    <xdr:to>
      <xdr:col>33</xdr:col>
      <xdr:colOff>82549</xdr:colOff>
      <xdr:row>25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18A612-B144-55FF-1EB3-9AF9055AD3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212724</xdr:colOff>
      <xdr:row>32</xdr:row>
      <xdr:rowOff>146050</xdr:rowOff>
    </xdr:from>
    <xdr:to>
      <xdr:col>32</xdr:col>
      <xdr:colOff>482599</xdr:colOff>
      <xdr:row>49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C868E7-0A27-DD82-168C-C6B6393FD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111124</xdr:colOff>
      <xdr:row>20</xdr:row>
      <xdr:rowOff>63500</xdr:rowOff>
    </xdr:from>
    <xdr:to>
      <xdr:col>35</xdr:col>
      <xdr:colOff>101599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E4F76B-7F59-2C96-CED1-785EA6656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ev-volumes.com/country/total-world-plug-in-vehicle-volumes/" TargetMode="External"/><Relationship Id="rId7" Type="http://schemas.openxmlformats.org/officeDocument/2006/relationships/hyperlink" Target="https://www.just-auto.com/analysis/global-vehicle-market-sales-rate-falls-back/" TargetMode="External"/><Relationship Id="rId2" Type="http://schemas.openxmlformats.org/officeDocument/2006/relationships/hyperlink" Target="https://www.statista.com/outlook/mmo/electric-vehicles/worldwide" TargetMode="External"/><Relationship Id="rId1" Type="http://schemas.openxmlformats.org/officeDocument/2006/relationships/hyperlink" Target="https://www.statista.com/outlook/mmo/electric-vehicles/worldwide" TargetMode="External"/><Relationship Id="rId6" Type="http://schemas.openxmlformats.org/officeDocument/2006/relationships/hyperlink" Target="https://www.oica.net/category/sales-statistics/" TargetMode="External"/><Relationship Id="rId5" Type="http://schemas.openxmlformats.org/officeDocument/2006/relationships/hyperlink" Target="https://en.wikipedia.org/wiki/Automotive_industry" TargetMode="External"/><Relationship Id="rId4" Type="http://schemas.openxmlformats.org/officeDocument/2006/relationships/hyperlink" Target="https://en.wikipedia.org/wiki/Automotive_industry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nevpost.com/2023/07/02/byd-sells-253046-nevs-jun/" TargetMode="External"/><Relationship Id="rId2" Type="http://schemas.openxmlformats.org/officeDocument/2006/relationships/hyperlink" Target="https://cnevpost.com/2023/07/02/byd-sells-253046-nevs-jun/" TargetMode="External"/><Relationship Id="rId1" Type="http://schemas.openxmlformats.org/officeDocument/2006/relationships/hyperlink" Target="https://en.wikipedia.org/wiki/History_of_Tesla,_Inc.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leantechnica.com/2023/02/07/tesla-1-in-world-bev-sales-by-big-margin-2022-world-ev-sales-report/" TargetMode="External"/><Relationship Id="rId2" Type="http://schemas.openxmlformats.org/officeDocument/2006/relationships/hyperlink" Target="https://cleantechnica.com/2023/02/07/tesla-1-in-world-bev-sales-by-big-margin-2022-world-ev-sales-report/" TargetMode="External"/><Relationship Id="rId1" Type="http://schemas.openxmlformats.org/officeDocument/2006/relationships/hyperlink" Target="https://www.ev-volumes.com/country/total-world-plug-in-vehicle-volum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0"/>
  <sheetViews>
    <sheetView topLeftCell="A7" workbookViewId="0">
      <selection activeCell="N8" sqref="N8:V34"/>
    </sheetView>
  </sheetViews>
  <sheetFormatPr defaultRowHeight="14.5" x14ac:dyDescent="0.35"/>
  <cols>
    <col min="1" max="1" width="7.453125" customWidth="1"/>
    <col min="2" max="2" width="9.54296875" customWidth="1"/>
    <col min="3" max="3" width="8.08984375" customWidth="1"/>
    <col min="4" max="4" width="12.7265625" customWidth="1"/>
    <col min="5" max="5" width="8.26953125" customWidth="1"/>
    <col min="6" max="6" width="11.26953125" customWidth="1"/>
    <col min="7" max="7" width="10.81640625" customWidth="1"/>
    <col min="8" max="8" width="10.1796875" customWidth="1"/>
    <col min="9" max="9" width="13" customWidth="1"/>
    <col min="10" max="10" width="11.1796875" customWidth="1"/>
    <col min="11" max="14" width="9.54296875" customWidth="1"/>
    <col min="15" max="15" width="11" customWidth="1"/>
    <col min="17" max="17" width="12.7265625" customWidth="1"/>
    <col min="18" max="18" width="10" customWidth="1"/>
    <col min="19" max="19" width="11.36328125" customWidth="1"/>
    <col min="20" max="20" width="8.36328125" customWidth="1"/>
    <col min="21" max="21" width="12.7265625" customWidth="1"/>
    <col min="22" max="22" width="11.36328125" customWidth="1"/>
    <col min="25" max="25" width="9.81640625" customWidth="1"/>
    <col min="26" max="26" width="12" customWidth="1"/>
    <col min="27" max="27" width="11.81640625" customWidth="1"/>
  </cols>
  <sheetData>
    <row r="1" spans="1:27" ht="28.5" x14ac:dyDescent="0.65">
      <c r="A1" s="19" t="s">
        <v>111</v>
      </c>
    </row>
    <row r="3" spans="1:27" ht="15.5" x14ac:dyDescent="0.35">
      <c r="A3" s="20" t="s">
        <v>109</v>
      </c>
    </row>
    <row r="4" spans="1:27" ht="15.5" x14ac:dyDescent="0.35">
      <c r="A4" s="20" t="s">
        <v>110</v>
      </c>
    </row>
    <row r="8" spans="1:27" ht="21.5" thickBot="1" x14ac:dyDescent="0.55000000000000004">
      <c r="C8" s="57" t="s">
        <v>130</v>
      </c>
      <c r="D8" s="58"/>
      <c r="E8" s="58"/>
      <c r="F8" s="58"/>
      <c r="G8" s="58"/>
      <c r="H8" s="58"/>
      <c r="I8" s="58"/>
      <c r="J8" s="58"/>
      <c r="K8" s="58"/>
      <c r="N8" s="57" t="s">
        <v>139</v>
      </c>
      <c r="O8" s="58"/>
      <c r="P8" s="58"/>
      <c r="Q8" s="58"/>
      <c r="R8" s="58"/>
      <c r="S8" s="58"/>
      <c r="T8" s="22"/>
      <c r="U8" s="22"/>
      <c r="V8" s="22"/>
      <c r="W8" s="4"/>
      <c r="X8" s="4"/>
      <c r="Y8" s="4"/>
      <c r="Z8" s="4"/>
      <c r="AA8" s="4"/>
    </row>
    <row r="9" spans="1:27" ht="15" thickTop="1" x14ac:dyDescent="0.35">
      <c r="C9" s="23" t="s">
        <v>0</v>
      </c>
      <c r="D9" s="24" t="s">
        <v>112</v>
      </c>
      <c r="E9" s="24" t="s">
        <v>1</v>
      </c>
      <c r="F9" s="24" t="s">
        <v>115</v>
      </c>
      <c r="G9" s="24" t="s">
        <v>1</v>
      </c>
      <c r="H9" s="24" t="s">
        <v>116</v>
      </c>
      <c r="I9" s="24" t="s">
        <v>53</v>
      </c>
      <c r="J9" s="24" t="s">
        <v>58</v>
      </c>
      <c r="K9" s="24" t="s">
        <v>1</v>
      </c>
      <c r="L9" s="29"/>
      <c r="M9" s="65"/>
      <c r="N9" s="23" t="s">
        <v>0</v>
      </c>
      <c r="O9" s="24" t="s">
        <v>4</v>
      </c>
      <c r="P9" s="24" t="s">
        <v>1</v>
      </c>
      <c r="Q9" s="25" t="s">
        <v>52</v>
      </c>
      <c r="R9" s="23" t="s">
        <v>0</v>
      </c>
      <c r="S9" s="24" t="s">
        <v>136</v>
      </c>
      <c r="T9" s="24" t="s">
        <v>1</v>
      </c>
      <c r="U9" s="25" t="s">
        <v>137</v>
      </c>
      <c r="V9" s="71" t="s">
        <v>158</v>
      </c>
      <c r="W9" s="4"/>
      <c r="X9" s="4"/>
      <c r="Y9" s="4"/>
      <c r="Z9" s="4"/>
      <c r="AA9" s="4"/>
    </row>
    <row r="10" spans="1:27" x14ac:dyDescent="0.35">
      <c r="C10" s="26"/>
      <c r="D10" s="27" t="s">
        <v>113</v>
      </c>
      <c r="E10" s="27" t="s">
        <v>2</v>
      </c>
      <c r="F10" s="27" t="s">
        <v>3</v>
      </c>
      <c r="G10" s="27" t="s">
        <v>2</v>
      </c>
      <c r="H10" s="27" t="s">
        <v>118</v>
      </c>
      <c r="I10" s="27" t="s">
        <v>54</v>
      </c>
      <c r="J10" s="27" t="s">
        <v>59</v>
      </c>
      <c r="K10" s="27" t="s">
        <v>2</v>
      </c>
      <c r="L10" s="29"/>
      <c r="M10" s="65"/>
      <c r="N10" s="26"/>
      <c r="O10" s="27" t="s">
        <v>3</v>
      </c>
      <c r="P10" s="27" t="s">
        <v>2</v>
      </c>
      <c r="Q10" s="28" t="s">
        <v>51</v>
      </c>
      <c r="R10" s="26"/>
      <c r="S10" s="27" t="s">
        <v>3</v>
      </c>
      <c r="T10" s="27" t="s">
        <v>2</v>
      </c>
      <c r="U10" s="28" t="s">
        <v>51</v>
      </c>
      <c r="V10" s="72" t="s">
        <v>159</v>
      </c>
      <c r="Y10" s="2"/>
      <c r="Z10" s="2"/>
      <c r="AA10" s="2"/>
    </row>
    <row r="11" spans="1:27" x14ac:dyDescent="0.35">
      <c r="C11" s="26"/>
      <c r="D11" s="27" t="s">
        <v>114</v>
      </c>
      <c r="E11" s="27"/>
      <c r="F11" s="27"/>
      <c r="G11" s="27" t="s">
        <v>138</v>
      </c>
      <c r="H11" s="27" t="s">
        <v>117</v>
      </c>
      <c r="I11" s="27" t="s">
        <v>55</v>
      </c>
      <c r="J11" s="27"/>
      <c r="K11" s="27" t="s">
        <v>135</v>
      </c>
      <c r="L11" s="29"/>
      <c r="M11" s="65"/>
      <c r="N11" s="26"/>
      <c r="O11" s="27"/>
      <c r="P11" s="27"/>
      <c r="Q11" s="28"/>
      <c r="R11" s="26"/>
      <c r="S11" s="27"/>
      <c r="T11" s="27"/>
      <c r="U11" s="28"/>
      <c r="V11" s="72" t="s">
        <v>160</v>
      </c>
      <c r="Y11" s="2"/>
      <c r="Z11" s="2"/>
      <c r="AA11" s="2"/>
    </row>
    <row r="12" spans="1:27" x14ac:dyDescent="0.35">
      <c r="C12" s="29">
        <v>2016</v>
      </c>
      <c r="D12" s="2">
        <v>94976569</v>
      </c>
      <c r="F12" s="2">
        <v>477700</v>
      </c>
      <c r="H12" s="3">
        <f t="shared" ref="H12:H28" si="0">F12/D12</f>
        <v>5.029661578952173E-3</v>
      </c>
      <c r="I12" s="3"/>
      <c r="J12" s="30">
        <f t="shared" ref="J12:J28" si="1">D12-F12</f>
        <v>94498869</v>
      </c>
      <c r="L12" s="63"/>
      <c r="M12" s="66"/>
      <c r="N12" s="29">
        <v>2016</v>
      </c>
      <c r="O12" s="2">
        <f>TeslaBYDsales!$I$20</f>
        <v>76297</v>
      </c>
      <c r="P12" s="59"/>
      <c r="Q12" s="31">
        <f t="shared" ref="Q12:Q28" si="2">O12/D12</f>
        <v>8.0332444942288867E-4</v>
      </c>
      <c r="R12" s="29">
        <v>2016</v>
      </c>
      <c r="S12" s="2"/>
      <c r="T12" s="59"/>
      <c r="U12" s="31"/>
      <c r="V12" s="73"/>
      <c r="Y12" s="2"/>
      <c r="Z12" s="2"/>
      <c r="AA12" s="2"/>
    </row>
    <row r="13" spans="1:27" x14ac:dyDescent="0.35">
      <c r="C13" s="29">
        <v>2017</v>
      </c>
      <c r="D13" s="2">
        <v>97302534</v>
      </c>
      <c r="E13" s="3">
        <f t="shared" ref="E13:E18" si="3">(D13-D12)/D12</f>
        <v>2.4489882341401488E-2</v>
      </c>
      <c r="F13" s="2">
        <v>801600</v>
      </c>
      <c r="G13" s="3">
        <f t="shared" ref="G13:G18" si="4">(F13-F12)/F12</f>
        <v>0.67804061126229853</v>
      </c>
      <c r="H13" s="3">
        <f t="shared" si="0"/>
        <v>8.2382232717598085E-3</v>
      </c>
      <c r="I13" s="3">
        <f t="shared" ref="I13:I28" si="5">H13-H12</f>
        <v>3.2085616928076354E-3</v>
      </c>
      <c r="J13" s="30">
        <f t="shared" si="1"/>
        <v>96500934</v>
      </c>
      <c r="K13" s="3">
        <f t="shared" ref="K13:K27" si="6">(J13-J12)/J12</f>
        <v>2.118612657681649E-2</v>
      </c>
      <c r="L13" s="64"/>
      <c r="M13" s="31"/>
      <c r="N13" s="29">
        <v>2017</v>
      </c>
      <c r="O13" s="2">
        <f>TeslaBYDsales!$I$24</f>
        <v>103181</v>
      </c>
      <c r="P13" s="3">
        <f t="shared" ref="P13:P19" si="7">(O13-O12)/O12</f>
        <v>0.35235985687510651</v>
      </c>
      <c r="Q13" s="31">
        <f t="shared" si="2"/>
        <v>1.0604143156230648E-3</v>
      </c>
      <c r="R13" s="29">
        <v>2017</v>
      </c>
      <c r="S13" s="2"/>
      <c r="T13" s="3"/>
      <c r="U13" s="31"/>
      <c r="V13" s="73"/>
      <c r="Y13" s="2"/>
      <c r="Z13" s="2"/>
      <c r="AA13" s="2"/>
    </row>
    <row r="14" spans="1:27" x14ac:dyDescent="0.35">
      <c r="C14" s="29">
        <v>2018</v>
      </c>
      <c r="D14" s="2">
        <v>95634593</v>
      </c>
      <c r="E14" s="3">
        <f t="shared" si="3"/>
        <v>-1.7141804343964978E-2</v>
      </c>
      <c r="F14" s="2">
        <v>1367800</v>
      </c>
      <c r="G14" s="3">
        <f t="shared" si="4"/>
        <v>0.70633732534930138</v>
      </c>
      <c r="H14" s="3">
        <f t="shared" si="0"/>
        <v>1.4302356052270751E-2</v>
      </c>
      <c r="I14" s="3">
        <f t="shared" si="5"/>
        <v>6.0641327805109422E-3</v>
      </c>
      <c r="J14" s="30">
        <f t="shared" si="1"/>
        <v>94266793</v>
      </c>
      <c r="K14" s="3">
        <f t="shared" si="6"/>
        <v>-2.3151496129560776E-2</v>
      </c>
      <c r="L14" s="64"/>
      <c r="M14" s="31"/>
      <c r="N14" s="29">
        <v>2018</v>
      </c>
      <c r="O14" s="2">
        <f>TeslaBYDsales!$I$28</f>
        <v>245162</v>
      </c>
      <c r="P14" s="3">
        <f t="shared" si="7"/>
        <v>1.3760382240916449</v>
      </c>
      <c r="Q14" s="31">
        <f t="shared" si="2"/>
        <v>2.5635284504217006E-3</v>
      </c>
      <c r="R14" s="29">
        <v>2018</v>
      </c>
      <c r="S14" s="2"/>
      <c r="T14" s="3"/>
      <c r="U14" s="31"/>
      <c r="V14" s="73"/>
      <c r="Y14" s="2"/>
      <c r="Z14" s="2"/>
      <c r="AA14" s="2"/>
    </row>
    <row r="15" spans="1:27" x14ac:dyDescent="0.35">
      <c r="C15" s="29">
        <v>2019</v>
      </c>
      <c r="D15" s="2">
        <v>91227182</v>
      </c>
      <c r="E15" s="3">
        <f t="shared" si="3"/>
        <v>-4.6085949254784826E-2</v>
      </c>
      <c r="F15" s="2">
        <v>1624600</v>
      </c>
      <c r="G15" s="3">
        <f t="shared" si="4"/>
        <v>0.18774674660038018</v>
      </c>
      <c r="H15" s="3">
        <f t="shared" si="0"/>
        <v>1.7808288762005166E-2</v>
      </c>
      <c r="I15" s="3">
        <f t="shared" si="5"/>
        <v>3.5059327097344151E-3</v>
      </c>
      <c r="J15" s="30">
        <f t="shared" si="1"/>
        <v>89602582</v>
      </c>
      <c r="K15" s="3">
        <f t="shared" si="6"/>
        <v>-4.9478833972849801E-2</v>
      </c>
      <c r="L15" s="64"/>
      <c r="M15" s="31"/>
      <c r="N15" s="29">
        <v>2019</v>
      </c>
      <c r="O15" s="2">
        <f>TeslaBYDsales!$I$32</f>
        <v>367481</v>
      </c>
      <c r="P15" s="3">
        <f t="shared" si="7"/>
        <v>0.49893131888302428</v>
      </c>
      <c r="Q15" s="31">
        <f t="shared" si="2"/>
        <v>4.0281963329745294E-3</v>
      </c>
      <c r="R15" s="29">
        <v>2019</v>
      </c>
      <c r="S15" s="2"/>
      <c r="T15" s="3"/>
      <c r="U15" s="31"/>
      <c r="V15" s="73"/>
    </row>
    <row r="16" spans="1:27" x14ac:dyDescent="0.35">
      <c r="C16" s="29">
        <v>2020</v>
      </c>
      <c r="D16" s="2">
        <v>77621582</v>
      </c>
      <c r="E16" s="3">
        <f t="shared" si="3"/>
        <v>-0.14913975968259111</v>
      </c>
      <c r="F16" s="2">
        <v>2165400</v>
      </c>
      <c r="G16" s="3">
        <f t="shared" si="4"/>
        <v>0.33288194016988798</v>
      </c>
      <c r="H16" s="3">
        <f t="shared" si="0"/>
        <v>2.7896880535106847E-2</v>
      </c>
      <c r="I16" s="3">
        <f t="shared" si="5"/>
        <v>1.0088591773101681E-2</v>
      </c>
      <c r="J16" s="30">
        <f t="shared" si="1"/>
        <v>75456182</v>
      </c>
      <c r="K16" s="3">
        <f t="shared" si="6"/>
        <v>-0.15787937896700344</v>
      </c>
      <c r="L16" s="64"/>
      <c r="M16" s="31"/>
      <c r="N16" s="29">
        <v>2020</v>
      </c>
      <c r="O16" s="2">
        <f>TeslaBYDsales!$I$36</f>
        <v>499647</v>
      </c>
      <c r="P16" s="3">
        <f t="shared" si="7"/>
        <v>0.3596539685044941</v>
      </c>
      <c r="Q16" s="31">
        <f t="shared" si="2"/>
        <v>6.4369597620414385E-3</v>
      </c>
      <c r="R16" s="29">
        <v>2020</v>
      </c>
      <c r="S16" s="2">
        <f>TeslaBYDsales!$R$36</f>
        <v>133000</v>
      </c>
      <c r="T16" s="3"/>
      <c r="U16" s="31">
        <f t="shared" ref="U16:U29" si="8">S16/D16</f>
        <v>1.7134409860391662E-3</v>
      </c>
      <c r="V16" s="73">
        <f>D16-O16-S16</f>
        <v>76988935</v>
      </c>
    </row>
    <row r="17" spans="3:25" x14ac:dyDescent="0.35">
      <c r="C17" s="29">
        <v>2021</v>
      </c>
      <c r="D17" s="2">
        <v>80145988</v>
      </c>
      <c r="E17" s="3">
        <f t="shared" si="3"/>
        <v>3.252196019400893E-2</v>
      </c>
      <c r="F17" s="2">
        <v>4599400</v>
      </c>
      <c r="G17" s="3">
        <f t="shared" si="4"/>
        <v>1.1240417474831439</v>
      </c>
      <c r="H17" s="3">
        <f t="shared" si="0"/>
        <v>5.7387775917117648E-2</v>
      </c>
      <c r="I17" s="3">
        <f t="shared" si="5"/>
        <v>2.9490895382010801E-2</v>
      </c>
      <c r="J17" s="30">
        <f t="shared" si="1"/>
        <v>75546588</v>
      </c>
      <c r="K17" s="3">
        <f t="shared" si="6"/>
        <v>1.1981258208903281E-3</v>
      </c>
      <c r="L17" s="64"/>
      <c r="M17" s="31"/>
      <c r="N17" s="29">
        <v>2021</v>
      </c>
      <c r="O17" s="2">
        <f>TeslaBYDsales!$I$40</f>
        <v>936222</v>
      </c>
      <c r="P17" s="3">
        <f t="shared" si="7"/>
        <v>0.87376687941686826</v>
      </c>
      <c r="Q17" s="31">
        <f t="shared" si="2"/>
        <v>1.168145809120227E-2</v>
      </c>
      <c r="R17" s="29">
        <v>2021</v>
      </c>
      <c r="S17" s="2">
        <f>TeslaBYDsales!$R$40</f>
        <v>325000</v>
      </c>
      <c r="T17" s="3">
        <f t="shared" ref="T17:T19" si="9">(S17-S16)/S16</f>
        <v>1.4436090225563909</v>
      </c>
      <c r="U17" s="31">
        <f t="shared" si="8"/>
        <v>4.0551000506725303E-3</v>
      </c>
      <c r="V17" s="73">
        <f t="shared" ref="V17:V29" si="10">D17-O17-S17</f>
        <v>78884766</v>
      </c>
    </row>
    <row r="18" spans="3:25" x14ac:dyDescent="0.35">
      <c r="C18" s="29">
        <v>2022</v>
      </c>
      <c r="D18" s="2">
        <v>85016728</v>
      </c>
      <c r="E18" s="3">
        <f t="shared" si="3"/>
        <v>6.0773347756346831E-2</v>
      </c>
      <c r="F18" s="2">
        <v>7800000</v>
      </c>
      <c r="G18" s="3">
        <f t="shared" si="4"/>
        <v>0.69587337478801581</v>
      </c>
      <c r="H18" s="3">
        <f t="shared" si="0"/>
        <v>9.1746650141605074E-2</v>
      </c>
      <c r="I18" s="3">
        <f t="shared" si="5"/>
        <v>3.4358874224487426E-2</v>
      </c>
      <c r="J18" s="30">
        <f t="shared" si="1"/>
        <v>77216728</v>
      </c>
      <c r="K18" s="3">
        <f t="shared" si="6"/>
        <v>2.2107418008077348E-2</v>
      </c>
      <c r="L18" s="64"/>
      <c r="M18" s="31"/>
      <c r="N18" s="29">
        <v>2022</v>
      </c>
      <c r="O18" s="2">
        <f>TeslaBYDsales!$I$44</f>
        <v>1313851</v>
      </c>
      <c r="P18" s="3">
        <f t="shared" si="7"/>
        <v>0.40335411900168977</v>
      </c>
      <c r="Q18" s="31">
        <f t="shared" si="2"/>
        <v>1.545402923528179E-2</v>
      </c>
      <c r="R18" s="29">
        <v>2022</v>
      </c>
      <c r="S18" s="2">
        <f>TeslaBYDsales!$R$44</f>
        <v>910000</v>
      </c>
      <c r="T18" s="3">
        <f t="shared" si="9"/>
        <v>1.8</v>
      </c>
      <c r="U18" s="31">
        <f t="shared" si="8"/>
        <v>1.0703775849853926E-2</v>
      </c>
      <c r="V18" s="73">
        <f t="shared" si="10"/>
        <v>82792877</v>
      </c>
    </row>
    <row r="19" spans="3:25" x14ac:dyDescent="0.35">
      <c r="C19" s="32">
        <v>2023</v>
      </c>
      <c r="D19" s="33">
        <f>D18*(1+E19)</f>
        <v>85016728</v>
      </c>
      <c r="E19" s="34">
        <v>0</v>
      </c>
      <c r="F19" s="33">
        <f t="shared" ref="F19:F26" si="11">F18*(1+G19)</f>
        <v>11700000</v>
      </c>
      <c r="G19" s="34">
        <v>0.5</v>
      </c>
      <c r="H19" s="34">
        <f t="shared" si="0"/>
        <v>0.1376199752124076</v>
      </c>
      <c r="I19" s="34">
        <f t="shared" si="5"/>
        <v>4.5873325070802523E-2</v>
      </c>
      <c r="J19" s="35">
        <f t="shared" si="1"/>
        <v>73316728</v>
      </c>
      <c r="K19" s="34">
        <f t="shared" si="6"/>
        <v>-5.0507190618074363E-2</v>
      </c>
      <c r="L19" s="64"/>
      <c r="M19" s="31"/>
      <c r="N19" s="32">
        <v>2023</v>
      </c>
      <c r="O19" s="33">
        <f>TeslaBYDsales!I48</f>
        <v>1939015</v>
      </c>
      <c r="P19" s="34">
        <f t="shared" si="7"/>
        <v>0.47582564537379046</v>
      </c>
      <c r="Q19" s="36">
        <f t="shared" si="2"/>
        <v>2.2807452669785174E-2</v>
      </c>
      <c r="R19" s="32">
        <v>2023</v>
      </c>
      <c r="S19" s="33">
        <f>TeslaBYDsales!$R$48</f>
        <v>1597000</v>
      </c>
      <c r="T19" s="34">
        <f t="shared" si="9"/>
        <v>0.75494505494505493</v>
      </c>
      <c r="U19" s="36">
        <f t="shared" si="8"/>
        <v>1.878453849694145E-2</v>
      </c>
      <c r="V19" s="73">
        <f t="shared" si="10"/>
        <v>81480713</v>
      </c>
    </row>
    <row r="20" spans="3:25" x14ac:dyDescent="0.35">
      <c r="C20" s="32">
        <v>2024</v>
      </c>
      <c r="D20" s="33">
        <f t="shared" ref="D20:D28" si="12">D19*(1+E20)</f>
        <v>87567229.840000004</v>
      </c>
      <c r="E20" s="34">
        <v>0.03</v>
      </c>
      <c r="F20" s="33">
        <f t="shared" si="11"/>
        <v>17550000</v>
      </c>
      <c r="G20" s="34">
        <v>0.5</v>
      </c>
      <c r="H20" s="34">
        <f t="shared" si="0"/>
        <v>0.20041743962971981</v>
      </c>
      <c r="I20" s="34">
        <f t="shared" si="5"/>
        <v>6.279746441731221E-2</v>
      </c>
      <c r="J20" s="35">
        <f t="shared" si="1"/>
        <v>70017229.840000004</v>
      </c>
      <c r="K20" s="34">
        <f t="shared" si="6"/>
        <v>-4.5003347121546348E-2</v>
      </c>
      <c r="L20" s="64"/>
      <c r="M20" s="31"/>
      <c r="N20" s="32">
        <v>2024</v>
      </c>
      <c r="O20" s="33">
        <f t="shared" ref="O20:O28" si="13">O19*(1+P20)</f>
        <v>2908522.5</v>
      </c>
      <c r="P20" s="34">
        <v>0.5</v>
      </c>
      <c r="Q20" s="36">
        <f t="shared" si="2"/>
        <v>3.3214736897745401E-2</v>
      </c>
      <c r="R20" s="32">
        <v>2024</v>
      </c>
      <c r="S20" s="33">
        <f t="shared" ref="S20:S29" si="14">S19*(1+T20)</f>
        <v>2395500</v>
      </c>
      <c r="T20" s="34">
        <v>0.5</v>
      </c>
      <c r="U20" s="36">
        <f t="shared" si="8"/>
        <v>2.7356124024672013E-2</v>
      </c>
      <c r="V20" s="73">
        <f t="shared" si="10"/>
        <v>82263207.340000004</v>
      </c>
    </row>
    <row r="21" spans="3:25" x14ac:dyDescent="0.35">
      <c r="C21" s="32">
        <v>2025</v>
      </c>
      <c r="D21" s="33">
        <f t="shared" si="12"/>
        <v>90194246.735200003</v>
      </c>
      <c r="E21" s="34">
        <v>0.03</v>
      </c>
      <c r="F21" s="33">
        <f t="shared" si="11"/>
        <v>26325000</v>
      </c>
      <c r="G21" s="34">
        <v>0.5</v>
      </c>
      <c r="H21" s="34">
        <f t="shared" si="0"/>
        <v>0.29187005771318419</v>
      </c>
      <c r="I21" s="34">
        <f t="shared" si="5"/>
        <v>9.1452618083464388E-2</v>
      </c>
      <c r="J21" s="35">
        <f t="shared" si="1"/>
        <v>63869246.735200003</v>
      </c>
      <c r="K21" s="34">
        <f t="shared" si="6"/>
        <v>-8.7806717273006596E-2</v>
      </c>
      <c r="L21" s="64"/>
      <c r="M21" s="31"/>
      <c r="N21" s="32">
        <v>2025</v>
      </c>
      <c r="O21" s="33">
        <f t="shared" si="13"/>
        <v>4362783.75</v>
      </c>
      <c r="P21" s="34">
        <v>0.5</v>
      </c>
      <c r="Q21" s="36">
        <f t="shared" si="2"/>
        <v>4.8370976064677766E-2</v>
      </c>
      <c r="R21" s="32">
        <v>2025</v>
      </c>
      <c r="S21" s="33">
        <f t="shared" si="14"/>
        <v>3593250</v>
      </c>
      <c r="T21" s="34">
        <v>0.5</v>
      </c>
      <c r="U21" s="36">
        <f t="shared" si="8"/>
        <v>3.98390155699107E-2</v>
      </c>
      <c r="V21" s="73">
        <f t="shared" si="10"/>
        <v>82238212.985200003</v>
      </c>
    </row>
    <row r="22" spans="3:25" x14ac:dyDescent="0.35">
      <c r="C22" s="32">
        <v>2026</v>
      </c>
      <c r="D22" s="33">
        <f t="shared" si="12"/>
        <v>92900074.137256011</v>
      </c>
      <c r="E22" s="34">
        <v>0.03</v>
      </c>
      <c r="F22" s="33">
        <f t="shared" si="11"/>
        <v>35538750</v>
      </c>
      <c r="G22" s="34">
        <v>0.35</v>
      </c>
      <c r="H22" s="34">
        <f t="shared" si="0"/>
        <v>0.38254813389592102</v>
      </c>
      <c r="I22" s="34">
        <f t="shared" si="5"/>
        <v>9.0678076182736822E-2</v>
      </c>
      <c r="J22" s="35">
        <f t="shared" si="1"/>
        <v>57361324.137256011</v>
      </c>
      <c r="K22" s="34">
        <f t="shared" si="6"/>
        <v>-0.10189446299446187</v>
      </c>
      <c r="L22" s="64"/>
      <c r="M22" s="31"/>
      <c r="N22" s="32">
        <v>2026</v>
      </c>
      <c r="O22" s="33">
        <f t="shared" si="13"/>
        <v>6544175.625</v>
      </c>
      <c r="P22" s="34">
        <v>0.5</v>
      </c>
      <c r="Q22" s="36">
        <f t="shared" si="2"/>
        <v>7.0443169026229754E-2</v>
      </c>
      <c r="R22" s="32">
        <v>2026</v>
      </c>
      <c r="S22" s="33">
        <f t="shared" si="14"/>
        <v>5389875</v>
      </c>
      <c r="T22" s="34">
        <v>0.5</v>
      </c>
      <c r="U22" s="36">
        <f t="shared" si="8"/>
        <v>5.8017983839675769E-2</v>
      </c>
      <c r="V22" s="73">
        <f t="shared" si="10"/>
        <v>80966023.512256011</v>
      </c>
    </row>
    <row r="23" spans="3:25" x14ac:dyDescent="0.35">
      <c r="C23" s="32">
        <v>2027</v>
      </c>
      <c r="D23" s="33">
        <f t="shared" si="12"/>
        <v>95687076.361373693</v>
      </c>
      <c r="E23" s="34">
        <v>0.03</v>
      </c>
      <c r="F23" s="33">
        <f t="shared" si="11"/>
        <v>45134212.5</v>
      </c>
      <c r="G23" s="34">
        <v>0.27</v>
      </c>
      <c r="H23" s="34">
        <f t="shared" si="0"/>
        <v>0.47168556315322296</v>
      </c>
      <c r="I23" s="34">
        <f t="shared" si="5"/>
        <v>8.9137429257301948E-2</v>
      </c>
      <c r="J23" s="35">
        <f t="shared" si="1"/>
        <v>50552863.861373693</v>
      </c>
      <c r="K23" s="34">
        <f t="shared" si="6"/>
        <v>-0.11869426618518808</v>
      </c>
      <c r="L23" s="64"/>
      <c r="M23" s="31"/>
      <c r="N23" s="32">
        <v>2027</v>
      </c>
      <c r="O23" s="33">
        <f t="shared" si="13"/>
        <v>9816263.4375</v>
      </c>
      <c r="P23" s="34">
        <v>0.5</v>
      </c>
      <c r="Q23" s="36">
        <f t="shared" si="2"/>
        <v>0.10258713935858702</v>
      </c>
      <c r="R23" s="32">
        <v>2027</v>
      </c>
      <c r="S23" s="33">
        <f t="shared" si="14"/>
        <v>8084812.5</v>
      </c>
      <c r="T23" s="34">
        <v>0.5</v>
      </c>
      <c r="U23" s="36">
        <f t="shared" si="8"/>
        <v>8.4492209475255972E-2</v>
      </c>
      <c r="V23" s="73">
        <f t="shared" si="10"/>
        <v>77786000.423873693</v>
      </c>
    </row>
    <row r="24" spans="3:25" x14ac:dyDescent="0.35">
      <c r="C24" s="32">
        <v>2028</v>
      </c>
      <c r="D24" s="33">
        <f t="shared" si="12"/>
        <v>98557688.6522149</v>
      </c>
      <c r="E24" s="34">
        <v>0.03</v>
      </c>
      <c r="F24" s="33">
        <f t="shared" si="11"/>
        <v>55515081.375</v>
      </c>
      <c r="G24" s="34">
        <v>0.23</v>
      </c>
      <c r="H24" s="34">
        <f t="shared" si="0"/>
        <v>0.5632749928917129</v>
      </c>
      <c r="I24" s="34">
        <f t="shared" si="5"/>
        <v>9.1589429738489936E-2</v>
      </c>
      <c r="J24" s="35">
        <f t="shared" si="1"/>
        <v>43042607.2772149</v>
      </c>
      <c r="K24" s="34">
        <f t="shared" si="6"/>
        <v>-0.1485624356466422</v>
      </c>
      <c r="L24" s="64"/>
      <c r="M24" s="31"/>
      <c r="N24" s="32">
        <v>2028</v>
      </c>
      <c r="O24" s="33">
        <f t="shared" si="13"/>
        <v>13742768.8125</v>
      </c>
      <c r="P24" s="34">
        <v>0.4</v>
      </c>
      <c r="Q24" s="36">
        <f t="shared" si="2"/>
        <v>0.1394388301961377</v>
      </c>
      <c r="R24" s="32">
        <v>2028</v>
      </c>
      <c r="S24" s="33">
        <f t="shared" si="14"/>
        <v>11318737.5</v>
      </c>
      <c r="T24" s="34">
        <v>0.4</v>
      </c>
      <c r="U24" s="36">
        <f t="shared" si="8"/>
        <v>0.11484377986927996</v>
      </c>
      <c r="V24" s="73">
        <f t="shared" si="10"/>
        <v>73496182.3397149</v>
      </c>
    </row>
    <row r="25" spans="3:25" x14ac:dyDescent="0.35">
      <c r="C25" s="32">
        <v>2029</v>
      </c>
      <c r="D25" s="33">
        <f t="shared" si="12"/>
        <v>101514419.31178135</v>
      </c>
      <c r="E25" s="34">
        <v>0.03</v>
      </c>
      <c r="F25" s="33">
        <f t="shared" si="11"/>
        <v>66340522.243125007</v>
      </c>
      <c r="G25" s="34">
        <v>0.19500000000000001</v>
      </c>
      <c r="H25" s="34">
        <f t="shared" si="0"/>
        <v>0.65350836553941449</v>
      </c>
      <c r="I25" s="34">
        <f t="shared" si="5"/>
        <v>9.0233372647701593E-2</v>
      </c>
      <c r="J25" s="35">
        <f t="shared" si="1"/>
        <v>35173897.06865634</v>
      </c>
      <c r="K25" s="34">
        <f t="shared" si="6"/>
        <v>-0.18281211818513493</v>
      </c>
      <c r="L25" s="64"/>
      <c r="M25" s="31"/>
      <c r="N25" s="32">
        <v>2029</v>
      </c>
      <c r="O25" s="33">
        <f t="shared" si="13"/>
        <v>16491322.574999999</v>
      </c>
      <c r="P25" s="34">
        <v>0.2</v>
      </c>
      <c r="Q25" s="36">
        <f t="shared" si="2"/>
        <v>0.16245300605375265</v>
      </c>
      <c r="R25" s="32">
        <v>2029</v>
      </c>
      <c r="S25" s="33">
        <f t="shared" si="14"/>
        <v>13582485</v>
      </c>
      <c r="T25" s="34">
        <v>0.2</v>
      </c>
      <c r="U25" s="36">
        <f t="shared" si="8"/>
        <v>0.13379857848848151</v>
      </c>
      <c r="V25" s="73">
        <f t="shared" si="10"/>
        <v>71440611.736781344</v>
      </c>
    </row>
    <row r="26" spans="3:25" x14ac:dyDescent="0.35">
      <c r="C26" s="32">
        <v>2030</v>
      </c>
      <c r="D26" s="33">
        <f t="shared" si="12"/>
        <v>104559851.89113478</v>
      </c>
      <c r="E26" s="34">
        <v>0.03</v>
      </c>
      <c r="F26" s="33">
        <f t="shared" si="11"/>
        <v>77618411.024456248</v>
      </c>
      <c r="G26" s="34">
        <v>0.17</v>
      </c>
      <c r="H26" s="34">
        <f t="shared" si="0"/>
        <v>0.74233474532147081</v>
      </c>
      <c r="I26" s="34">
        <f t="shared" si="5"/>
        <v>8.8826379782056319E-2</v>
      </c>
      <c r="J26" s="35">
        <f t="shared" si="1"/>
        <v>26941440.866678536</v>
      </c>
      <c r="K26" s="34">
        <f t="shared" si="6"/>
        <v>-0.23405015901163231</v>
      </c>
      <c r="L26" s="64"/>
      <c r="M26" s="31"/>
      <c r="N26" s="32">
        <v>2030</v>
      </c>
      <c r="O26" s="33">
        <f t="shared" si="13"/>
        <v>18965020.961249996</v>
      </c>
      <c r="P26" s="34">
        <v>0.15</v>
      </c>
      <c r="Q26" s="36">
        <f t="shared" si="2"/>
        <v>0.18137956986584031</v>
      </c>
      <c r="R26" s="32">
        <v>2030</v>
      </c>
      <c r="S26" s="33">
        <f t="shared" si="14"/>
        <v>15619857.749999998</v>
      </c>
      <c r="T26" s="34">
        <v>0.15</v>
      </c>
      <c r="U26" s="36">
        <f t="shared" si="8"/>
        <v>0.14938676239005216</v>
      </c>
      <c r="V26" s="73">
        <f t="shared" si="10"/>
        <v>69974973.179884791</v>
      </c>
    </row>
    <row r="27" spans="3:25" x14ac:dyDescent="0.35">
      <c r="C27" s="32">
        <v>2031</v>
      </c>
      <c r="D27" s="33">
        <f t="shared" si="12"/>
        <v>107696647.44786882</v>
      </c>
      <c r="E27" s="34">
        <v>0.03</v>
      </c>
      <c r="F27" s="33">
        <f>F26*(1+G27)</f>
        <v>89261172.678124681</v>
      </c>
      <c r="G27" s="34">
        <v>0.15</v>
      </c>
      <c r="H27" s="34">
        <f t="shared" si="0"/>
        <v>0.82882034671814697</v>
      </c>
      <c r="I27" s="34">
        <f t="shared" si="5"/>
        <v>8.6485601396676159E-2</v>
      </c>
      <c r="J27" s="35">
        <f t="shared" si="1"/>
        <v>18435474.769744143</v>
      </c>
      <c r="K27" s="34">
        <f t="shared" si="6"/>
        <v>-0.31572053399173106</v>
      </c>
      <c r="L27" s="64"/>
      <c r="M27" s="31"/>
      <c r="N27" s="32">
        <v>2031</v>
      </c>
      <c r="O27" s="33">
        <f t="shared" si="13"/>
        <v>19533971.590087496</v>
      </c>
      <c r="P27" s="34">
        <v>0.03</v>
      </c>
      <c r="Q27" s="36">
        <f t="shared" si="2"/>
        <v>0.18137956986584031</v>
      </c>
      <c r="R27" s="32">
        <v>2031</v>
      </c>
      <c r="S27" s="33">
        <f t="shared" si="14"/>
        <v>16088453.482499998</v>
      </c>
      <c r="T27" s="34">
        <v>0.03</v>
      </c>
      <c r="U27" s="36">
        <f t="shared" si="8"/>
        <v>0.14938676239005216</v>
      </c>
      <c r="V27" s="73">
        <f t="shared" si="10"/>
        <v>72074222.375281319</v>
      </c>
    </row>
    <row r="28" spans="3:25" x14ac:dyDescent="0.35">
      <c r="C28" s="32">
        <v>2032</v>
      </c>
      <c r="D28" s="33">
        <f t="shared" si="12"/>
        <v>110927546.87130488</v>
      </c>
      <c r="E28" s="34">
        <v>0.03</v>
      </c>
      <c r="F28" s="33">
        <f>F27*(1+G28)</f>
        <v>101757736.85306215</v>
      </c>
      <c r="G28" s="34">
        <v>0.14000000000000001</v>
      </c>
      <c r="H28" s="34">
        <f t="shared" si="0"/>
        <v>0.91733514102785219</v>
      </c>
      <c r="I28" s="34">
        <f t="shared" si="5"/>
        <v>8.8514794309705214E-2</v>
      </c>
      <c r="J28" s="35">
        <f t="shared" si="1"/>
        <v>9169810.0182427317</v>
      </c>
      <c r="K28" s="34">
        <f>(J28-J27)/J27</f>
        <v>-0.50259973595624441</v>
      </c>
      <c r="L28" s="64"/>
      <c r="M28" s="31"/>
      <c r="N28" s="32">
        <v>2032</v>
      </c>
      <c r="O28" s="33">
        <f t="shared" si="13"/>
        <v>20119990.737790123</v>
      </c>
      <c r="P28" s="34">
        <v>0.03</v>
      </c>
      <c r="Q28" s="36">
        <f t="shared" si="2"/>
        <v>0.18137956986584033</v>
      </c>
      <c r="R28" s="32">
        <v>2032</v>
      </c>
      <c r="S28" s="33">
        <f t="shared" si="14"/>
        <v>16571107.086974999</v>
      </c>
      <c r="T28" s="34">
        <v>0.03</v>
      </c>
      <c r="U28" s="36">
        <f t="shared" si="8"/>
        <v>0.14938676239005219</v>
      </c>
      <c r="V28" s="73">
        <f t="shared" si="10"/>
        <v>74236449.046539769</v>
      </c>
      <c r="Y28" s="22" t="s">
        <v>119</v>
      </c>
    </row>
    <row r="29" spans="3:25" x14ac:dyDescent="0.35">
      <c r="C29" s="32">
        <v>2033</v>
      </c>
      <c r="D29" s="33">
        <f t="shared" ref="D29" si="15">D28*(1+E29)</f>
        <v>114255373.27744403</v>
      </c>
      <c r="E29" s="34">
        <v>0.03</v>
      </c>
      <c r="F29" s="33">
        <f>D29</f>
        <v>114255373.27744403</v>
      </c>
      <c r="G29" s="34">
        <f>(F29-F28)/F28</f>
        <v>0.12281755482070547</v>
      </c>
      <c r="H29" s="34">
        <f t="shared" ref="H29" si="16">F29/D29</f>
        <v>1</v>
      </c>
      <c r="I29" s="34">
        <f t="shared" ref="I29" si="17">H29-H28</f>
        <v>8.2664858972147814E-2</v>
      </c>
      <c r="J29" s="35">
        <f t="shared" ref="J29" si="18">D29-F29</f>
        <v>0</v>
      </c>
      <c r="K29" s="34">
        <f>(J29-J28)/J28</f>
        <v>-1</v>
      </c>
      <c r="L29" s="64"/>
      <c r="M29" s="31"/>
      <c r="N29" s="32">
        <v>2033</v>
      </c>
      <c r="O29" s="33">
        <f t="shared" ref="O29" si="19">O28*(1+P29)</f>
        <v>20723590.459923826</v>
      </c>
      <c r="P29" s="34">
        <v>0.03</v>
      </c>
      <c r="Q29" s="36">
        <f t="shared" ref="Q29" si="20">O29/D29</f>
        <v>0.18137956986584033</v>
      </c>
      <c r="R29" s="32">
        <v>2033</v>
      </c>
      <c r="S29" s="33">
        <f t="shared" si="14"/>
        <v>17068240.299584251</v>
      </c>
      <c r="T29" s="34">
        <v>0.03</v>
      </c>
      <c r="U29" s="36">
        <f t="shared" si="8"/>
        <v>0.14938676239005219</v>
      </c>
      <c r="V29" s="73">
        <f t="shared" si="10"/>
        <v>76463542.517935947</v>
      </c>
    </row>
    <row r="30" spans="3:25" x14ac:dyDescent="0.35">
      <c r="C30" s="37" t="s">
        <v>152</v>
      </c>
      <c r="D30" s="38"/>
      <c r="E30" s="38"/>
      <c r="F30" s="38"/>
      <c r="G30" s="38"/>
      <c r="H30" s="38"/>
      <c r="I30" s="38"/>
      <c r="J30" s="38"/>
      <c r="K30" s="38"/>
      <c r="L30" s="63"/>
      <c r="M30" s="66"/>
      <c r="N30" s="37" t="s">
        <v>152</v>
      </c>
      <c r="O30" s="60"/>
      <c r="P30" s="38"/>
      <c r="Q30" s="39"/>
      <c r="R30" s="37" t="s">
        <v>152</v>
      </c>
      <c r="S30" s="38"/>
      <c r="T30" s="38"/>
      <c r="U30" s="39"/>
      <c r="V30" s="74"/>
    </row>
    <row r="31" spans="3:25" x14ac:dyDescent="0.35">
      <c r="C31" s="40" t="s">
        <v>57</v>
      </c>
      <c r="D31" s="38"/>
      <c r="E31" s="41">
        <f>((D18/D12)^(1/($C18-$C12)))-1</f>
        <v>-1.8294287183833413E-2</v>
      </c>
      <c r="F31" s="38"/>
      <c r="G31" s="41">
        <f>((F18/F12)^(1/($C18-$C12)))-1</f>
        <v>0.59278281103971842</v>
      </c>
      <c r="H31" s="41"/>
      <c r="I31" s="41"/>
      <c r="J31" s="38"/>
      <c r="K31" s="41">
        <f>((J18/J12)^(1/($C18-$C12)))-1</f>
        <v>-3.3101698474759633E-2</v>
      </c>
      <c r="L31" s="64"/>
      <c r="M31" s="31"/>
      <c r="N31" s="40" t="s">
        <v>57</v>
      </c>
      <c r="O31" s="60"/>
      <c r="P31" s="41">
        <f>((O18/O12)^(1/($C18-$C12)))-1</f>
        <v>0.60696509066883175</v>
      </c>
      <c r="Q31" s="39"/>
      <c r="R31" s="40" t="s">
        <v>140</v>
      </c>
      <c r="S31" s="38"/>
      <c r="T31" s="41">
        <f>((S18/S16)^(1/($C18-$C16)))-1</f>
        <v>1.6157418189029848</v>
      </c>
      <c r="U31" s="39"/>
      <c r="V31" s="74"/>
    </row>
    <row r="32" spans="3:25" x14ac:dyDescent="0.35">
      <c r="C32" s="40" t="s">
        <v>64</v>
      </c>
      <c r="D32" s="38"/>
      <c r="E32" s="41">
        <f>((D28/D18)^(1/($C28-$C18)))-1</f>
        <v>2.6959938611265999E-2</v>
      </c>
      <c r="F32" s="38"/>
      <c r="G32" s="41">
        <f>((F28/F18)^(1/($C28-$C18)))-1</f>
        <v>0.29284745151209868</v>
      </c>
      <c r="H32" s="41"/>
      <c r="I32" s="41"/>
      <c r="J32" s="41"/>
      <c r="K32" s="41">
        <f>((J28/J18)^(1/($C28-$C18)))-1</f>
        <v>-0.19190039530333247</v>
      </c>
      <c r="L32" s="64"/>
      <c r="M32" s="31"/>
      <c r="N32" s="40" t="s">
        <v>64</v>
      </c>
      <c r="O32" s="61"/>
      <c r="P32" s="41">
        <f>((O28/O18)^(1/($C28-$C18)))-1</f>
        <v>0.31373619694479937</v>
      </c>
      <c r="Q32" s="39"/>
      <c r="R32" s="40" t="s">
        <v>64</v>
      </c>
      <c r="S32" s="41"/>
      <c r="T32" s="41">
        <f>((S28/S18)^(1/($C28-$C18)))-1</f>
        <v>0.33669096680671795</v>
      </c>
      <c r="U32" s="39"/>
      <c r="V32" s="74"/>
    </row>
    <row r="33" spans="3:22" ht="15" thickBot="1" x14ac:dyDescent="0.4">
      <c r="C33" s="42" t="s">
        <v>60</v>
      </c>
      <c r="D33" s="43"/>
      <c r="E33" s="44">
        <f>((D28/D12)^(1/($C28-$C12)))-1</f>
        <v>9.750166031020191E-3</v>
      </c>
      <c r="F33" s="43"/>
      <c r="G33" s="44">
        <f>((F28/F12)^(1/($C28-$C12)))-1</f>
        <v>0.39805984589506926</v>
      </c>
      <c r="H33" s="44"/>
      <c r="I33" s="44"/>
      <c r="J33" s="44"/>
      <c r="K33" s="44">
        <f>((J28/J12)^(1/($C28-$C12)))-1</f>
        <v>-0.13566249538846797</v>
      </c>
      <c r="L33" s="64"/>
      <c r="M33" s="31"/>
      <c r="N33" s="42" t="s">
        <v>60</v>
      </c>
      <c r="O33" s="62"/>
      <c r="P33" s="44">
        <f>((O28/O12)^(1/($C28-$C12)))-1</f>
        <v>0.41683742394187173</v>
      </c>
      <c r="Q33" s="45"/>
      <c r="R33" s="42" t="s">
        <v>141</v>
      </c>
      <c r="S33" s="44"/>
      <c r="T33" s="44">
        <f>((S28/S16)^(1/($C28-$C16)))-1</f>
        <v>0.49494422640108882</v>
      </c>
      <c r="U33" s="45"/>
      <c r="V33" s="75"/>
    </row>
    <row r="34" spans="3:22" ht="15" thickTop="1" x14ac:dyDescent="0.35">
      <c r="C34" s="22" t="s">
        <v>119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22" t="s">
        <v>119</v>
      </c>
      <c r="O34" s="58"/>
      <c r="P34" s="58"/>
      <c r="Q34" s="58"/>
      <c r="R34" s="58"/>
      <c r="S34" s="58"/>
      <c r="T34" s="58"/>
      <c r="U34" s="58"/>
      <c r="V34" s="58"/>
    </row>
    <row r="38" spans="3:22" ht="21.5" thickBot="1" x14ac:dyDescent="0.55000000000000004">
      <c r="C38" s="57" t="s">
        <v>95</v>
      </c>
      <c r="D38" s="58"/>
      <c r="E38" s="58"/>
      <c r="F38" s="58"/>
      <c r="G38" s="58"/>
      <c r="H38" s="58"/>
      <c r="I38" s="58"/>
      <c r="J38" s="58"/>
      <c r="K38" s="58"/>
      <c r="N38" s="57" t="s">
        <v>95</v>
      </c>
      <c r="O38" s="58"/>
      <c r="P38" s="58"/>
      <c r="Q38" s="58"/>
      <c r="R38" s="58"/>
      <c r="S38" s="58"/>
      <c r="T38" s="22"/>
      <c r="U38" s="22"/>
      <c r="V38" s="22"/>
    </row>
    <row r="39" spans="3:22" ht="15" thickTop="1" x14ac:dyDescent="0.35">
      <c r="C39" s="23" t="s">
        <v>0</v>
      </c>
      <c r="D39" s="24" t="s">
        <v>112</v>
      </c>
      <c r="E39" s="24" t="s">
        <v>1</v>
      </c>
      <c r="F39" s="24" t="s">
        <v>115</v>
      </c>
      <c r="G39" s="24" t="s">
        <v>1</v>
      </c>
      <c r="H39" s="24" t="s">
        <v>116</v>
      </c>
      <c r="I39" s="24" t="s">
        <v>53</v>
      </c>
      <c r="J39" s="24" t="s">
        <v>58</v>
      </c>
      <c r="K39" s="24" t="s">
        <v>1</v>
      </c>
      <c r="L39" s="29"/>
      <c r="M39" s="65"/>
      <c r="N39" s="23" t="s">
        <v>0</v>
      </c>
      <c r="O39" s="24" t="s">
        <v>4</v>
      </c>
      <c r="P39" s="24" t="s">
        <v>1</v>
      </c>
      <c r="Q39" s="25" t="s">
        <v>52</v>
      </c>
      <c r="R39" s="23" t="s">
        <v>0</v>
      </c>
      <c r="S39" s="24" t="s">
        <v>136</v>
      </c>
      <c r="T39" s="24" t="s">
        <v>1</v>
      </c>
      <c r="U39" s="25" t="s">
        <v>137</v>
      </c>
      <c r="V39" s="71" t="s">
        <v>158</v>
      </c>
    </row>
    <row r="40" spans="3:22" x14ac:dyDescent="0.35">
      <c r="C40" s="26"/>
      <c r="D40" s="27" t="s">
        <v>113</v>
      </c>
      <c r="E40" s="27" t="s">
        <v>2</v>
      </c>
      <c r="F40" s="27" t="s">
        <v>3</v>
      </c>
      <c r="G40" s="27" t="s">
        <v>2</v>
      </c>
      <c r="H40" s="27" t="s">
        <v>118</v>
      </c>
      <c r="I40" s="27" t="s">
        <v>54</v>
      </c>
      <c r="J40" s="27" t="s">
        <v>59</v>
      </c>
      <c r="K40" s="27" t="s">
        <v>2</v>
      </c>
      <c r="L40" s="29"/>
      <c r="M40" s="65"/>
      <c r="N40" s="26"/>
      <c r="O40" s="27" t="s">
        <v>3</v>
      </c>
      <c r="P40" s="27" t="s">
        <v>2</v>
      </c>
      <c r="Q40" s="28" t="s">
        <v>51</v>
      </c>
      <c r="R40" s="26"/>
      <c r="S40" s="27" t="s">
        <v>3</v>
      </c>
      <c r="T40" s="27" t="s">
        <v>2</v>
      </c>
      <c r="U40" s="28" t="s">
        <v>51</v>
      </c>
      <c r="V40" s="72" t="s">
        <v>159</v>
      </c>
    </row>
    <row r="41" spans="3:22" x14ac:dyDescent="0.35">
      <c r="C41" s="26"/>
      <c r="D41" s="27" t="s">
        <v>114</v>
      </c>
      <c r="E41" s="27"/>
      <c r="F41" s="27"/>
      <c r="G41" s="27" t="s">
        <v>138</v>
      </c>
      <c r="H41" s="27" t="s">
        <v>117</v>
      </c>
      <c r="I41" s="27" t="s">
        <v>55</v>
      </c>
      <c r="J41" s="27"/>
      <c r="K41" s="27" t="s">
        <v>135</v>
      </c>
      <c r="L41" s="29"/>
      <c r="M41" s="65"/>
      <c r="N41" s="26"/>
      <c r="O41" s="27"/>
      <c r="P41" s="27"/>
      <c r="Q41" s="28"/>
      <c r="R41" s="26"/>
      <c r="S41" s="27"/>
      <c r="T41" s="27"/>
      <c r="U41" s="28"/>
      <c r="V41" s="72" t="s">
        <v>160</v>
      </c>
    </row>
    <row r="42" spans="3:22" x14ac:dyDescent="0.35">
      <c r="C42" s="29">
        <v>2016</v>
      </c>
      <c r="D42" s="50" t="s">
        <v>151</v>
      </c>
      <c r="E42" t="s">
        <v>93</v>
      </c>
      <c r="F42" s="50" t="s">
        <v>146</v>
      </c>
      <c r="G42" s="27" t="s">
        <v>93</v>
      </c>
      <c r="H42" s="3" t="s">
        <v>147</v>
      </c>
      <c r="I42" s="3" t="s">
        <v>93</v>
      </c>
      <c r="J42" s="3" t="s">
        <v>147</v>
      </c>
      <c r="K42" s="3" t="s">
        <v>93</v>
      </c>
      <c r="L42" s="63"/>
      <c r="M42" s="66"/>
      <c r="N42" s="29">
        <v>2016</v>
      </c>
      <c r="O42" s="2" t="s">
        <v>157</v>
      </c>
      <c r="P42" s="59" t="s">
        <v>93</v>
      </c>
      <c r="Q42" s="3" t="s">
        <v>147</v>
      </c>
      <c r="R42" s="29">
        <v>2016</v>
      </c>
      <c r="S42" s="2" t="s">
        <v>157</v>
      </c>
      <c r="T42" s="59" t="s">
        <v>93</v>
      </c>
      <c r="U42" s="31" t="s">
        <v>147</v>
      </c>
      <c r="V42" s="73"/>
    </row>
    <row r="43" spans="3:22" x14ac:dyDescent="0.35">
      <c r="C43" s="29">
        <v>2017</v>
      </c>
      <c r="D43" s="50" t="s">
        <v>151</v>
      </c>
      <c r="E43" s="3" t="s">
        <v>147</v>
      </c>
      <c r="F43" s="50" t="s">
        <v>146</v>
      </c>
      <c r="G43" s="3" t="s">
        <v>147</v>
      </c>
      <c r="H43" s="3" t="s">
        <v>147</v>
      </c>
      <c r="I43" s="3" t="s">
        <v>147</v>
      </c>
      <c r="J43" s="3" t="s">
        <v>147</v>
      </c>
      <c r="K43" s="3" t="s">
        <v>147</v>
      </c>
      <c r="L43" s="64"/>
      <c r="M43" s="31"/>
      <c r="N43" s="29">
        <v>2017</v>
      </c>
      <c r="O43" s="2" t="s">
        <v>157</v>
      </c>
      <c r="P43" s="3" t="s">
        <v>147</v>
      </c>
      <c r="Q43" s="3" t="s">
        <v>147</v>
      </c>
      <c r="R43" s="29">
        <v>2017</v>
      </c>
      <c r="S43" s="2" t="s">
        <v>157</v>
      </c>
      <c r="T43" s="3" t="s">
        <v>147</v>
      </c>
      <c r="U43" s="31" t="s">
        <v>147</v>
      </c>
      <c r="V43" s="73"/>
    </row>
    <row r="44" spans="3:22" x14ac:dyDescent="0.35">
      <c r="C44" s="29">
        <v>2018</v>
      </c>
      <c r="D44" s="50" t="s">
        <v>151</v>
      </c>
      <c r="E44" s="3" t="s">
        <v>147</v>
      </c>
      <c r="F44" s="50" t="s">
        <v>146</v>
      </c>
      <c r="G44" s="3" t="s">
        <v>147</v>
      </c>
      <c r="H44" s="3" t="s">
        <v>147</v>
      </c>
      <c r="I44" s="3" t="s">
        <v>147</v>
      </c>
      <c r="J44" s="3" t="s">
        <v>147</v>
      </c>
      <c r="K44" s="3" t="s">
        <v>147</v>
      </c>
      <c r="L44" s="64"/>
      <c r="M44" s="31"/>
      <c r="N44" s="29">
        <v>2018</v>
      </c>
      <c r="O44" s="2" t="s">
        <v>157</v>
      </c>
      <c r="P44" s="3" t="s">
        <v>147</v>
      </c>
      <c r="Q44" s="3" t="s">
        <v>147</v>
      </c>
      <c r="R44" s="29">
        <v>2018</v>
      </c>
      <c r="S44" s="2" t="s">
        <v>157</v>
      </c>
      <c r="T44" s="3" t="s">
        <v>147</v>
      </c>
      <c r="U44" s="31" t="s">
        <v>147</v>
      </c>
      <c r="V44" s="73"/>
    </row>
    <row r="45" spans="3:22" x14ac:dyDescent="0.35">
      <c r="C45" s="29">
        <v>2019</v>
      </c>
      <c r="D45" s="50" t="s">
        <v>151</v>
      </c>
      <c r="E45" s="3" t="s">
        <v>147</v>
      </c>
      <c r="F45" s="50" t="s">
        <v>146</v>
      </c>
      <c r="G45" s="3" t="s">
        <v>147</v>
      </c>
      <c r="H45" s="3" t="s">
        <v>147</v>
      </c>
      <c r="I45" s="3" t="s">
        <v>147</v>
      </c>
      <c r="J45" s="3" t="s">
        <v>147</v>
      </c>
      <c r="K45" s="3" t="s">
        <v>147</v>
      </c>
      <c r="L45" s="64"/>
      <c r="M45" s="31"/>
      <c r="N45" s="29">
        <v>2019</v>
      </c>
      <c r="O45" s="2" t="s">
        <v>157</v>
      </c>
      <c r="P45" s="3" t="s">
        <v>147</v>
      </c>
      <c r="Q45" s="3" t="s">
        <v>147</v>
      </c>
      <c r="R45" s="29">
        <v>2019</v>
      </c>
      <c r="S45" s="2" t="s">
        <v>157</v>
      </c>
      <c r="T45" s="3" t="s">
        <v>147</v>
      </c>
      <c r="U45" s="31" t="s">
        <v>147</v>
      </c>
      <c r="V45" s="73"/>
    </row>
    <row r="46" spans="3:22" x14ac:dyDescent="0.35">
      <c r="C46" s="29">
        <v>2020</v>
      </c>
      <c r="D46" s="50" t="s">
        <v>151</v>
      </c>
      <c r="E46" s="3" t="s">
        <v>147</v>
      </c>
      <c r="F46" s="50" t="s">
        <v>146</v>
      </c>
      <c r="G46" s="3" t="s">
        <v>147</v>
      </c>
      <c r="H46" s="3" t="s">
        <v>147</v>
      </c>
      <c r="I46" s="3" t="s">
        <v>147</v>
      </c>
      <c r="J46" s="3" t="s">
        <v>147</v>
      </c>
      <c r="K46" s="3" t="s">
        <v>147</v>
      </c>
      <c r="L46" s="64"/>
      <c r="M46" s="31"/>
      <c r="N46" s="29">
        <v>2020</v>
      </c>
      <c r="O46" s="2" t="s">
        <v>157</v>
      </c>
      <c r="P46" s="3" t="s">
        <v>147</v>
      </c>
      <c r="Q46" s="3" t="s">
        <v>147</v>
      </c>
      <c r="R46" s="29">
        <v>2020</v>
      </c>
      <c r="S46" s="2" t="s">
        <v>157</v>
      </c>
      <c r="T46" s="3" t="s">
        <v>147</v>
      </c>
      <c r="U46" s="31" t="s">
        <v>147</v>
      </c>
      <c r="V46" s="31" t="s">
        <v>147</v>
      </c>
    </row>
    <row r="47" spans="3:22" x14ac:dyDescent="0.35">
      <c r="C47" s="29">
        <v>2021</v>
      </c>
      <c r="D47" s="50" t="s">
        <v>151</v>
      </c>
      <c r="E47" s="3" t="s">
        <v>147</v>
      </c>
      <c r="F47" s="50" t="s">
        <v>146</v>
      </c>
      <c r="G47" s="3" t="s">
        <v>147</v>
      </c>
      <c r="H47" s="3" t="s">
        <v>147</v>
      </c>
      <c r="I47" s="3" t="s">
        <v>147</v>
      </c>
      <c r="J47" s="3" t="s">
        <v>147</v>
      </c>
      <c r="K47" s="3" t="s">
        <v>147</v>
      </c>
      <c r="L47" s="64"/>
      <c r="M47" s="31"/>
      <c r="N47" s="29">
        <v>2021</v>
      </c>
      <c r="O47" s="2" t="s">
        <v>157</v>
      </c>
      <c r="P47" s="3" t="s">
        <v>147</v>
      </c>
      <c r="Q47" s="3" t="s">
        <v>147</v>
      </c>
      <c r="R47" s="29">
        <v>2021</v>
      </c>
      <c r="S47" s="2" t="s">
        <v>157</v>
      </c>
      <c r="T47" s="3" t="s">
        <v>147</v>
      </c>
      <c r="U47" s="31" t="s">
        <v>147</v>
      </c>
      <c r="V47" s="31" t="s">
        <v>147</v>
      </c>
    </row>
    <row r="48" spans="3:22" x14ac:dyDescent="0.35">
      <c r="C48" s="29">
        <v>2022</v>
      </c>
      <c r="D48" s="50" t="s">
        <v>151</v>
      </c>
      <c r="E48" s="3" t="s">
        <v>147</v>
      </c>
      <c r="F48" s="50" t="s">
        <v>129</v>
      </c>
      <c r="G48" s="3" t="s">
        <v>147</v>
      </c>
      <c r="H48" s="3" t="s">
        <v>147</v>
      </c>
      <c r="I48" s="3" t="s">
        <v>147</v>
      </c>
      <c r="J48" s="3" t="s">
        <v>147</v>
      </c>
      <c r="K48" s="3" t="s">
        <v>147</v>
      </c>
      <c r="L48" s="64"/>
      <c r="M48" s="31"/>
      <c r="N48" s="29">
        <v>2022</v>
      </c>
      <c r="O48" s="2" t="s">
        <v>157</v>
      </c>
      <c r="P48" s="3" t="s">
        <v>147</v>
      </c>
      <c r="Q48" s="3" t="s">
        <v>147</v>
      </c>
      <c r="R48" s="29">
        <v>2022</v>
      </c>
      <c r="S48" s="2" t="s">
        <v>157</v>
      </c>
      <c r="T48" s="3" t="s">
        <v>147</v>
      </c>
      <c r="U48" s="31" t="s">
        <v>147</v>
      </c>
      <c r="V48" s="31" t="s">
        <v>147</v>
      </c>
    </row>
    <row r="49" spans="3:22" x14ac:dyDescent="0.35">
      <c r="C49" s="32">
        <v>2023</v>
      </c>
      <c r="D49" s="3" t="s">
        <v>147</v>
      </c>
      <c r="E49" s="34" t="s">
        <v>148</v>
      </c>
      <c r="F49" s="3" t="s">
        <v>147</v>
      </c>
      <c r="G49" s="34" t="s">
        <v>156</v>
      </c>
      <c r="H49" s="3" t="s">
        <v>147</v>
      </c>
      <c r="I49" s="3" t="s">
        <v>147</v>
      </c>
      <c r="J49" s="3" t="s">
        <v>147</v>
      </c>
      <c r="K49" s="3" t="s">
        <v>147</v>
      </c>
      <c r="L49" s="64"/>
      <c r="M49" s="31"/>
      <c r="N49" s="32">
        <v>2023</v>
      </c>
      <c r="O49" s="2" t="s">
        <v>157</v>
      </c>
      <c r="P49" s="3" t="s">
        <v>147</v>
      </c>
      <c r="Q49" s="3" t="s">
        <v>147</v>
      </c>
      <c r="R49" s="32">
        <v>2023</v>
      </c>
      <c r="S49" s="2" t="s">
        <v>157</v>
      </c>
      <c r="T49" s="3" t="s">
        <v>147</v>
      </c>
      <c r="U49" s="31" t="s">
        <v>147</v>
      </c>
      <c r="V49" s="31" t="s">
        <v>147</v>
      </c>
    </row>
    <row r="50" spans="3:22" x14ac:dyDescent="0.35">
      <c r="C50" s="32">
        <v>2024</v>
      </c>
      <c r="D50" s="3" t="s">
        <v>147</v>
      </c>
      <c r="E50" s="34" t="s">
        <v>148</v>
      </c>
      <c r="F50" s="3" t="s">
        <v>147</v>
      </c>
      <c r="G50" s="34" t="s">
        <v>148</v>
      </c>
      <c r="H50" s="3" t="s">
        <v>147</v>
      </c>
      <c r="I50" s="3" t="s">
        <v>147</v>
      </c>
      <c r="J50" s="3" t="s">
        <v>147</v>
      </c>
      <c r="K50" s="3" t="s">
        <v>147</v>
      </c>
      <c r="L50" s="64"/>
      <c r="M50" s="31"/>
      <c r="N50" s="32">
        <v>2024</v>
      </c>
      <c r="O50" s="33" t="s">
        <v>147</v>
      </c>
      <c r="P50" s="34" t="s">
        <v>148</v>
      </c>
      <c r="Q50" s="3" t="s">
        <v>147</v>
      </c>
      <c r="R50" s="32">
        <v>2024</v>
      </c>
      <c r="S50" s="33" t="s">
        <v>147</v>
      </c>
      <c r="T50" s="34" t="s">
        <v>148</v>
      </c>
      <c r="U50" s="31" t="s">
        <v>147</v>
      </c>
      <c r="V50" s="31" t="s">
        <v>147</v>
      </c>
    </row>
    <row r="51" spans="3:22" x14ac:dyDescent="0.35">
      <c r="C51" s="32">
        <v>2025</v>
      </c>
      <c r="D51" s="3" t="s">
        <v>147</v>
      </c>
      <c r="E51" s="34" t="s">
        <v>148</v>
      </c>
      <c r="F51" s="3" t="s">
        <v>147</v>
      </c>
      <c r="G51" s="34" t="s">
        <v>148</v>
      </c>
      <c r="H51" s="3" t="s">
        <v>147</v>
      </c>
      <c r="I51" s="3" t="s">
        <v>147</v>
      </c>
      <c r="J51" s="3" t="s">
        <v>147</v>
      </c>
      <c r="K51" s="3" t="s">
        <v>147</v>
      </c>
      <c r="L51" s="64"/>
      <c r="M51" s="31"/>
      <c r="N51" s="32">
        <v>2025</v>
      </c>
      <c r="O51" s="33" t="s">
        <v>147</v>
      </c>
      <c r="P51" s="34" t="s">
        <v>148</v>
      </c>
      <c r="Q51" s="3" t="s">
        <v>147</v>
      </c>
      <c r="R51" s="32">
        <v>2025</v>
      </c>
      <c r="S51" s="33" t="s">
        <v>147</v>
      </c>
      <c r="T51" s="34" t="s">
        <v>148</v>
      </c>
      <c r="U51" s="31" t="s">
        <v>147</v>
      </c>
      <c r="V51" s="31" t="s">
        <v>147</v>
      </c>
    </row>
    <row r="52" spans="3:22" x14ac:dyDescent="0.35">
      <c r="C52" s="32">
        <v>2026</v>
      </c>
      <c r="D52" s="3" t="s">
        <v>147</v>
      </c>
      <c r="E52" s="34" t="s">
        <v>148</v>
      </c>
      <c r="F52" s="3" t="s">
        <v>147</v>
      </c>
      <c r="G52" s="34" t="s">
        <v>148</v>
      </c>
      <c r="H52" s="3" t="s">
        <v>147</v>
      </c>
      <c r="I52" s="3" t="s">
        <v>147</v>
      </c>
      <c r="J52" s="3" t="s">
        <v>147</v>
      </c>
      <c r="K52" s="3" t="s">
        <v>147</v>
      </c>
      <c r="L52" s="64"/>
      <c r="M52" s="31"/>
      <c r="N52" s="32">
        <v>2026</v>
      </c>
      <c r="O52" s="33" t="s">
        <v>147</v>
      </c>
      <c r="P52" s="34" t="s">
        <v>148</v>
      </c>
      <c r="Q52" s="3" t="s">
        <v>147</v>
      </c>
      <c r="R52" s="32">
        <v>2026</v>
      </c>
      <c r="S52" s="33" t="s">
        <v>147</v>
      </c>
      <c r="T52" s="34" t="s">
        <v>148</v>
      </c>
      <c r="U52" s="31" t="s">
        <v>147</v>
      </c>
      <c r="V52" s="31" t="s">
        <v>147</v>
      </c>
    </row>
    <row r="53" spans="3:22" x14ac:dyDescent="0.35">
      <c r="C53" s="32">
        <v>2027</v>
      </c>
      <c r="D53" s="3" t="s">
        <v>147</v>
      </c>
      <c r="E53" s="34" t="s">
        <v>148</v>
      </c>
      <c r="F53" s="3" t="s">
        <v>147</v>
      </c>
      <c r="G53" s="34" t="s">
        <v>148</v>
      </c>
      <c r="H53" s="3" t="s">
        <v>147</v>
      </c>
      <c r="I53" s="3" t="s">
        <v>147</v>
      </c>
      <c r="J53" s="3" t="s">
        <v>147</v>
      </c>
      <c r="K53" s="3" t="s">
        <v>147</v>
      </c>
      <c r="L53" s="64"/>
      <c r="M53" s="31"/>
      <c r="N53" s="32">
        <v>2027</v>
      </c>
      <c r="O53" s="33" t="s">
        <v>147</v>
      </c>
      <c r="P53" s="34" t="s">
        <v>148</v>
      </c>
      <c r="Q53" s="3" t="s">
        <v>147</v>
      </c>
      <c r="R53" s="32">
        <v>2027</v>
      </c>
      <c r="S53" s="33" t="s">
        <v>147</v>
      </c>
      <c r="T53" s="34" t="s">
        <v>148</v>
      </c>
      <c r="U53" s="31" t="s">
        <v>147</v>
      </c>
      <c r="V53" s="31" t="s">
        <v>147</v>
      </c>
    </row>
    <row r="54" spans="3:22" x14ac:dyDescent="0.35">
      <c r="C54" s="32">
        <v>2028</v>
      </c>
      <c r="D54" s="3" t="s">
        <v>147</v>
      </c>
      <c r="E54" s="34" t="s">
        <v>148</v>
      </c>
      <c r="F54" s="3" t="s">
        <v>147</v>
      </c>
      <c r="G54" s="34" t="s">
        <v>148</v>
      </c>
      <c r="H54" s="3" t="s">
        <v>147</v>
      </c>
      <c r="I54" s="3" t="s">
        <v>147</v>
      </c>
      <c r="J54" s="3" t="s">
        <v>147</v>
      </c>
      <c r="K54" s="3" t="s">
        <v>147</v>
      </c>
      <c r="L54" s="64"/>
      <c r="M54" s="31"/>
      <c r="N54" s="32">
        <v>2028</v>
      </c>
      <c r="O54" s="33" t="s">
        <v>147</v>
      </c>
      <c r="P54" s="34" t="s">
        <v>148</v>
      </c>
      <c r="Q54" s="3" t="s">
        <v>147</v>
      </c>
      <c r="R54" s="32">
        <v>2028</v>
      </c>
      <c r="S54" s="33" t="s">
        <v>147</v>
      </c>
      <c r="T54" s="34" t="s">
        <v>148</v>
      </c>
      <c r="U54" s="31" t="s">
        <v>147</v>
      </c>
      <c r="V54" s="31" t="s">
        <v>147</v>
      </c>
    </row>
    <row r="55" spans="3:22" x14ac:dyDescent="0.35">
      <c r="C55" s="32">
        <v>2029</v>
      </c>
      <c r="D55" s="3" t="s">
        <v>147</v>
      </c>
      <c r="E55" s="34" t="s">
        <v>148</v>
      </c>
      <c r="F55" s="3" t="s">
        <v>147</v>
      </c>
      <c r="G55" s="34" t="s">
        <v>148</v>
      </c>
      <c r="H55" s="3" t="s">
        <v>147</v>
      </c>
      <c r="I55" s="3" t="s">
        <v>147</v>
      </c>
      <c r="J55" s="3" t="s">
        <v>147</v>
      </c>
      <c r="K55" s="3" t="s">
        <v>147</v>
      </c>
      <c r="L55" s="64"/>
      <c r="M55" s="31"/>
      <c r="N55" s="32">
        <v>2029</v>
      </c>
      <c r="O55" s="33" t="s">
        <v>147</v>
      </c>
      <c r="P55" s="34" t="s">
        <v>148</v>
      </c>
      <c r="Q55" s="3" t="s">
        <v>147</v>
      </c>
      <c r="R55" s="32">
        <v>2029</v>
      </c>
      <c r="S55" s="33" t="s">
        <v>147</v>
      </c>
      <c r="T55" s="34" t="s">
        <v>148</v>
      </c>
      <c r="U55" s="31" t="s">
        <v>147</v>
      </c>
      <c r="V55" s="31" t="s">
        <v>147</v>
      </c>
    </row>
    <row r="56" spans="3:22" x14ac:dyDescent="0.35">
      <c r="C56" s="32">
        <v>2030</v>
      </c>
      <c r="D56" s="3" t="s">
        <v>147</v>
      </c>
      <c r="E56" s="34" t="s">
        <v>148</v>
      </c>
      <c r="F56" s="3" t="s">
        <v>147</v>
      </c>
      <c r="G56" s="34" t="s">
        <v>148</v>
      </c>
      <c r="H56" s="3" t="s">
        <v>147</v>
      </c>
      <c r="I56" s="3" t="s">
        <v>147</v>
      </c>
      <c r="J56" s="3" t="s">
        <v>147</v>
      </c>
      <c r="K56" s="3" t="s">
        <v>147</v>
      </c>
      <c r="L56" s="64"/>
      <c r="M56" s="31"/>
      <c r="N56" s="32">
        <v>2030</v>
      </c>
      <c r="O56" s="33" t="s">
        <v>147</v>
      </c>
      <c r="P56" s="34" t="s">
        <v>148</v>
      </c>
      <c r="Q56" s="3" t="s">
        <v>147</v>
      </c>
      <c r="R56" s="32">
        <v>2030</v>
      </c>
      <c r="S56" s="33" t="s">
        <v>147</v>
      </c>
      <c r="T56" s="34" t="s">
        <v>148</v>
      </c>
      <c r="U56" s="31" t="s">
        <v>147</v>
      </c>
      <c r="V56" s="31" t="s">
        <v>147</v>
      </c>
    </row>
    <row r="57" spans="3:22" x14ac:dyDescent="0.35">
      <c r="C57" s="32">
        <v>2031</v>
      </c>
      <c r="D57" s="3" t="s">
        <v>147</v>
      </c>
      <c r="E57" s="34" t="s">
        <v>148</v>
      </c>
      <c r="F57" s="3" t="s">
        <v>147</v>
      </c>
      <c r="G57" s="34" t="s">
        <v>148</v>
      </c>
      <c r="H57" s="3" t="s">
        <v>147</v>
      </c>
      <c r="I57" s="3" t="s">
        <v>147</v>
      </c>
      <c r="J57" s="3" t="s">
        <v>147</v>
      </c>
      <c r="K57" s="3" t="s">
        <v>147</v>
      </c>
      <c r="L57" s="64"/>
      <c r="M57" s="31"/>
      <c r="N57" s="32">
        <v>2031</v>
      </c>
      <c r="O57" s="33" t="s">
        <v>147</v>
      </c>
      <c r="P57" s="34" t="s">
        <v>148</v>
      </c>
      <c r="Q57" s="3" t="s">
        <v>147</v>
      </c>
      <c r="R57" s="32">
        <v>2031</v>
      </c>
      <c r="S57" s="33" t="s">
        <v>147</v>
      </c>
      <c r="T57" s="34" t="s">
        <v>148</v>
      </c>
      <c r="U57" s="31" t="s">
        <v>147</v>
      </c>
      <c r="V57" s="31" t="s">
        <v>147</v>
      </c>
    </row>
    <row r="58" spans="3:22" x14ac:dyDescent="0.35">
      <c r="C58" s="32">
        <v>2032</v>
      </c>
      <c r="D58" s="3" t="s">
        <v>147</v>
      </c>
      <c r="E58" s="34" t="s">
        <v>148</v>
      </c>
      <c r="F58" s="3" t="s">
        <v>147</v>
      </c>
      <c r="G58" s="34" t="s">
        <v>148</v>
      </c>
      <c r="H58" s="3" t="s">
        <v>147</v>
      </c>
      <c r="I58" s="3" t="s">
        <v>147</v>
      </c>
      <c r="J58" s="3" t="s">
        <v>147</v>
      </c>
      <c r="K58" s="3" t="s">
        <v>147</v>
      </c>
      <c r="L58" s="64"/>
      <c r="M58" s="31"/>
      <c r="N58" s="32">
        <v>2032</v>
      </c>
      <c r="O58" s="33" t="s">
        <v>147</v>
      </c>
      <c r="P58" s="34" t="s">
        <v>148</v>
      </c>
      <c r="Q58" s="3" t="s">
        <v>147</v>
      </c>
      <c r="R58" s="32">
        <v>2032</v>
      </c>
      <c r="S58" s="33" t="s">
        <v>147</v>
      </c>
      <c r="T58" s="34" t="s">
        <v>148</v>
      </c>
      <c r="U58" s="31" t="s">
        <v>147</v>
      </c>
      <c r="V58" s="31" t="s">
        <v>147</v>
      </c>
    </row>
    <row r="59" spans="3:22" x14ac:dyDescent="0.35">
      <c r="C59" s="32">
        <v>2033</v>
      </c>
      <c r="D59" s="3" t="s">
        <v>147</v>
      </c>
      <c r="E59" s="34" t="s">
        <v>148</v>
      </c>
      <c r="F59" s="3" t="s">
        <v>147</v>
      </c>
      <c r="G59" s="34" t="s">
        <v>147</v>
      </c>
      <c r="H59" s="3" t="s">
        <v>147</v>
      </c>
      <c r="I59" s="3" t="s">
        <v>147</v>
      </c>
      <c r="J59" s="3" t="s">
        <v>147</v>
      </c>
      <c r="K59" s="3" t="s">
        <v>147</v>
      </c>
      <c r="L59" s="64"/>
      <c r="M59" s="31"/>
      <c r="N59" s="32">
        <v>2033</v>
      </c>
      <c r="O59" s="33" t="s">
        <v>147</v>
      </c>
      <c r="P59" s="34" t="s">
        <v>148</v>
      </c>
      <c r="Q59" s="3" t="s">
        <v>147</v>
      </c>
      <c r="R59" s="32">
        <v>2033</v>
      </c>
      <c r="S59" s="33" t="s">
        <v>147</v>
      </c>
      <c r="T59" s="34" t="s">
        <v>148</v>
      </c>
      <c r="U59" s="31" t="s">
        <v>147</v>
      </c>
      <c r="V59" s="31" t="s">
        <v>147</v>
      </c>
    </row>
    <row r="60" spans="3:22" x14ac:dyDescent="0.35">
      <c r="C60" s="37" t="s">
        <v>152</v>
      </c>
      <c r="D60" s="38"/>
      <c r="E60" s="38"/>
      <c r="F60" s="38"/>
      <c r="G60" s="38"/>
      <c r="H60" s="38"/>
      <c r="I60" s="38"/>
      <c r="J60" s="38"/>
      <c r="K60" s="38"/>
      <c r="L60" s="63"/>
      <c r="M60" s="66"/>
      <c r="N60" s="37" t="s">
        <v>152</v>
      </c>
      <c r="O60" s="60"/>
      <c r="P60" s="38"/>
      <c r="Q60" s="39"/>
      <c r="R60" s="37" t="s">
        <v>56</v>
      </c>
      <c r="S60" s="60"/>
      <c r="T60" s="38"/>
      <c r="U60" s="39"/>
      <c r="V60" s="74"/>
    </row>
    <row r="61" spans="3:22" x14ac:dyDescent="0.35">
      <c r="C61" s="40" t="s">
        <v>57</v>
      </c>
      <c r="D61" s="38"/>
      <c r="E61" s="41" t="s">
        <v>147</v>
      </c>
      <c r="F61" s="38"/>
      <c r="G61" s="41" t="s">
        <v>147</v>
      </c>
      <c r="H61" s="41"/>
      <c r="I61" s="41"/>
      <c r="J61" s="38"/>
      <c r="K61" s="70" t="s">
        <v>147</v>
      </c>
      <c r="L61" s="64"/>
      <c r="M61" s="31"/>
      <c r="N61" s="40" t="s">
        <v>57</v>
      </c>
      <c r="O61" s="60"/>
      <c r="P61" s="41" t="s">
        <v>147</v>
      </c>
      <c r="Q61" s="39"/>
      <c r="R61" s="40" t="s">
        <v>140</v>
      </c>
      <c r="S61" s="60"/>
      <c r="T61" s="41" t="s">
        <v>147</v>
      </c>
      <c r="U61" s="39"/>
      <c r="V61" s="74"/>
    </row>
    <row r="62" spans="3:22" x14ac:dyDescent="0.35">
      <c r="C62" s="40" t="s">
        <v>64</v>
      </c>
      <c r="D62" s="38"/>
      <c r="E62" s="41" t="s">
        <v>147</v>
      </c>
      <c r="F62" s="38"/>
      <c r="G62" s="41" t="s">
        <v>147</v>
      </c>
      <c r="H62" s="41"/>
      <c r="I62" s="41"/>
      <c r="J62" s="41"/>
      <c r="K62" s="70" t="s">
        <v>147</v>
      </c>
      <c r="L62" s="64"/>
      <c r="M62" s="31"/>
      <c r="N62" s="40" t="s">
        <v>64</v>
      </c>
      <c r="O62" s="61"/>
      <c r="P62" s="41" t="s">
        <v>147</v>
      </c>
      <c r="Q62" s="39"/>
      <c r="R62" s="40" t="s">
        <v>64</v>
      </c>
      <c r="S62" s="61"/>
      <c r="T62" s="41" t="s">
        <v>147</v>
      </c>
      <c r="U62" s="39"/>
      <c r="V62" s="74"/>
    </row>
    <row r="63" spans="3:22" ht="15" thickBot="1" x14ac:dyDescent="0.4">
      <c r="C63" s="42" t="s">
        <v>60</v>
      </c>
      <c r="D63" s="43"/>
      <c r="E63" s="44" t="s">
        <v>147</v>
      </c>
      <c r="F63" s="43"/>
      <c r="G63" s="44" t="s">
        <v>147</v>
      </c>
      <c r="H63" s="44"/>
      <c r="I63" s="44"/>
      <c r="J63" s="44"/>
      <c r="K63" s="56" t="s">
        <v>147</v>
      </c>
      <c r="L63" s="64"/>
      <c r="M63" s="31"/>
      <c r="N63" s="42" t="s">
        <v>60</v>
      </c>
      <c r="O63" s="62"/>
      <c r="P63" s="44" t="s">
        <v>147</v>
      </c>
      <c r="Q63" s="45"/>
      <c r="R63" s="42" t="s">
        <v>141</v>
      </c>
      <c r="S63" s="62"/>
      <c r="T63" s="44" t="s">
        <v>147</v>
      </c>
      <c r="U63" s="45"/>
      <c r="V63" s="75"/>
    </row>
    <row r="64" spans="3:22" ht="15" thickTop="1" x14ac:dyDescent="0.35">
      <c r="C64" s="22" t="s">
        <v>119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22" t="s">
        <v>119</v>
      </c>
      <c r="O64" s="58"/>
      <c r="P64" s="58"/>
      <c r="Q64" s="58"/>
      <c r="R64" s="58"/>
      <c r="S64" s="58"/>
      <c r="T64" s="58"/>
      <c r="U64" s="58"/>
      <c r="V64" s="58"/>
    </row>
    <row r="68" spans="3:7" x14ac:dyDescent="0.35">
      <c r="C68" t="s">
        <v>153</v>
      </c>
    </row>
    <row r="69" spans="3:7" x14ac:dyDescent="0.35">
      <c r="C69" t="s">
        <v>154</v>
      </c>
      <c r="G69" s="16" t="s">
        <v>150</v>
      </c>
    </row>
    <row r="70" spans="3:7" x14ac:dyDescent="0.35">
      <c r="C70" t="s">
        <v>155</v>
      </c>
      <c r="G70" s="16" t="s">
        <v>149</v>
      </c>
    </row>
  </sheetData>
  <hyperlinks>
    <hyperlink ref="F42" r:id="rId1" location="unit-sales" xr:uid="{58DF183F-376A-4233-BCC0-2A7E3779BB26}"/>
    <hyperlink ref="F43:F47" r:id="rId2" location="unit-sales" display="https://www.statista.com/outlook/mmo/electric-vehicles/worldwide#unit-sales" xr:uid="{D3C2895C-67A1-4816-BC19-48147C7374FF}"/>
    <hyperlink ref="F48" r:id="rId3" xr:uid="{232E2FC4-94FA-40FF-87EB-58FE7DC348B8}"/>
    <hyperlink ref="D42" r:id="rId4" location="By_year" xr:uid="{7AB26675-B8EF-49F2-9C7D-7F47F0417B5D}"/>
    <hyperlink ref="D43:D48" r:id="rId5" location="By_year" display="https://en.wikipedia.org/wiki/Automotive_industry#By_year" xr:uid="{37F5C466-03E9-4F8D-A73D-066B4DB34DBE}"/>
    <hyperlink ref="G69" r:id="rId6" xr:uid="{AAD2128B-63C5-451D-96F6-3EC5E049F91F}"/>
    <hyperlink ref="G70" r:id="rId7" location=":~:text=A%20global%20market%20forecast%20at,in%20Europe%20and%20North%20America." xr:uid="{479F4E68-7886-4EED-838C-3C7849FD45CE}"/>
  </hyperlinks>
  <pageMargins left="0.7" right="0.7" top="0.75" bottom="0.75" header="0.3" footer="0.3"/>
  <pageSetup orientation="portrait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workbookViewId="0">
      <selection sqref="A1:A4"/>
    </sheetView>
  </sheetViews>
  <sheetFormatPr defaultRowHeight="14.5" x14ac:dyDescent="0.35"/>
  <cols>
    <col min="1" max="1" width="13.08984375" customWidth="1"/>
    <col min="2" max="2" width="15.6328125" customWidth="1"/>
    <col min="3" max="3" width="8.1796875" customWidth="1"/>
    <col min="4" max="4" width="14.08984375" customWidth="1"/>
    <col min="6" max="6" width="12.90625" customWidth="1"/>
    <col min="7" max="7" width="11.08984375" customWidth="1"/>
    <col min="9" max="9" width="10.81640625" customWidth="1"/>
    <col min="11" max="11" width="9.453125" customWidth="1"/>
    <col min="12" max="12" width="6.81640625" customWidth="1"/>
    <col min="14" max="14" width="10.54296875" customWidth="1"/>
    <col min="16" max="16" width="9.6328125" customWidth="1"/>
  </cols>
  <sheetData>
    <row r="1" spans="1:1" ht="28.5" x14ac:dyDescent="0.65">
      <c r="A1" s="19" t="str">
        <f>BEVgrowth!A1</f>
        <v>Tesla and BYD’s epic battle for BEV supremacy. Who is winning? #30</v>
      </c>
    </row>
    <row r="2" spans="1:1" x14ac:dyDescent="0.35">
      <c r="A2">
        <f>BEVgrowth!A2</f>
        <v>0</v>
      </c>
    </row>
    <row r="3" spans="1:1" ht="15.5" x14ac:dyDescent="0.35">
      <c r="A3" s="20" t="str">
        <f>BEVgrowth!A3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" ht="15.5" x14ac:dyDescent="0.35">
      <c r="A4" s="20" t="str">
        <f>BEVgrowth!A4</f>
        <v>Sources to all information used in this spreadsheet can also be found in associated PowerPoint presentation located also at www.hmexperience.dk</v>
      </c>
    </row>
    <row r="8" spans="1:1" ht="21" x14ac:dyDescent="0.5">
      <c r="A8" s="1" t="s">
        <v>73</v>
      </c>
    </row>
    <row r="10" spans="1:1" x14ac:dyDescent="0.35">
      <c r="A10" s="14" t="s">
        <v>81</v>
      </c>
    </row>
    <row r="11" spans="1:1" x14ac:dyDescent="0.35">
      <c r="A11" s="14" t="s">
        <v>82</v>
      </c>
    </row>
    <row r="12" spans="1:1" x14ac:dyDescent="0.35">
      <c r="A12" s="14" t="s">
        <v>84</v>
      </c>
    </row>
    <row r="13" spans="1:1" x14ac:dyDescent="0.35">
      <c r="A13" s="14" t="s">
        <v>89</v>
      </c>
    </row>
    <row r="14" spans="1:1" x14ac:dyDescent="0.35">
      <c r="A14" s="14"/>
    </row>
    <row r="18" spans="1:17" x14ac:dyDescent="0.35">
      <c r="A18" s="14"/>
    </row>
    <row r="20" spans="1:17" x14ac:dyDescent="0.35">
      <c r="A20" s="4" t="s">
        <v>0</v>
      </c>
      <c r="B20" s="7" t="s">
        <v>66</v>
      </c>
      <c r="C20" s="4" t="s">
        <v>1</v>
      </c>
      <c r="D20" s="7" t="s">
        <v>62</v>
      </c>
      <c r="E20" s="4" t="s">
        <v>1</v>
      </c>
      <c r="F20" s="4" t="s">
        <v>50</v>
      </c>
      <c r="G20" s="7" t="s">
        <v>67</v>
      </c>
      <c r="H20" s="4" t="s">
        <v>1</v>
      </c>
      <c r="I20" s="7" t="s">
        <v>70</v>
      </c>
      <c r="J20" s="7" t="s">
        <v>70</v>
      </c>
      <c r="K20" s="7" t="s">
        <v>70</v>
      </c>
      <c r="L20" s="4" t="s">
        <v>1</v>
      </c>
      <c r="M20" s="4" t="s">
        <v>74</v>
      </c>
      <c r="N20" s="7" t="s">
        <v>83</v>
      </c>
      <c r="O20" s="7" t="s">
        <v>86</v>
      </c>
      <c r="P20" s="7" t="s">
        <v>91</v>
      </c>
      <c r="Q20" s="4" t="s">
        <v>74</v>
      </c>
    </row>
    <row r="21" spans="1:17" x14ac:dyDescent="0.35">
      <c r="A21" s="4"/>
      <c r="B21" s="7" t="s">
        <v>65</v>
      </c>
      <c r="C21" s="4" t="s">
        <v>2</v>
      </c>
      <c r="D21" s="7" t="s">
        <v>63</v>
      </c>
      <c r="E21" s="4" t="s">
        <v>2</v>
      </c>
      <c r="F21" s="4" t="s">
        <v>51</v>
      </c>
      <c r="G21" s="7" t="s">
        <v>68</v>
      </c>
      <c r="H21" s="4" t="s">
        <v>2</v>
      </c>
      <c r="I21" s="7" t="s">
        <v>71</v>
      </c>
      <c r="J21" s="7" t="s">
        <v>78</v>
      </c>
      <c r="K21" s="7" t="s">
        <v>79</v>
      </c>
      <c r="L21" s="4" t="s">
        <v>2</v>
      </c>
      <c r="M21" s="4" t="s">
        <v>75</v>
      </c>
      <c r="N21" s="7" t="s">
        <v>39</v>
      </c>
      <c r="O21" s="7" t="s">
        <v>87</v>
      </c>
      <c r="P21" s="7" t="s">
        <v>90</v>
      </c>
      <c r="Q21" s="4" t="s">
        <v>75</v>
      </c>
    </row>
    <row r="22" spans="1:17" x14ac:dyDescent="0.35">
      <c r="A22" s="4"/>
      <c r="B22" s="7" t="s">
        <v>61</v>
      </c>
      <c r="C22" s="4"/>
      <c r="D22" s="7" t="s">
        <v>3</v>
      </c>
      <c r="E22" s="4"/>
      <c r="F22" s="4"/>
      <c r="G22" s="7" t="s">
        <v>69</v>
      </c>
      <c r="H22" s="4"/>
      <c r="I22" s="7" t="s">
        <v>72</v>
      </c>
      <c r="J22" s="7" t="s">
        <v>77</v>
      </c>
      <c r="K22" s="7" t="s">
        <v>80</v>
      </c>
      <c r="L22" s="4"/>
      <c r="M22" s="4" t="s">
        <v>76</v>
      </c>
      <c r="N22" s="7" t="s">
        <v>85</v>
      </c>
      <c r="O22" s="7" t="s">
        <v>88</v>
      </c>
      <c r="P22" s="7" t="s">
        <v>92</v>
      </c>
      <c r="Q22" s="4" t="s">
        <v>76</v>
      </c>
    </row>
    <row r="23" spans="1:17" x14ac:dyDescent="0.35">
      <c r="A23" s="4">
        <v>2016</v>
      </c>
      <c r="B23" s="2">
        <v>94976569</v>
      </c>
      <c r="D23" s="2">
        <v>477700</v>
      </c>
      <c r="F23" s="3">
        <f t="shared" ref="F23:F39" si="0">D23/B23</f>
        <v>5.029661578952173E-3</v>
      </c>
      <c r="G23" s="12">
        <v>34450</v>
      </c>
      <c r="I23" s="12">
        <f t="shared" ref="I23:I39" si="1">B23*G23/1000000000</f>
        <v>3271.94280205</v>
      </c>
      <c r="J23" s="12">
        <f t="shared" ref="J23:J39" si="2">D23*G23/1000000000</f>
        <v>16.456765000000001</v>
      </c>
      <c r="K23" s="12">
        <v>76153</v>
      </c>
      <c r="M23" s="3">
        <f>I23/K23</f>
        <v>4.2965382874607695E-2</v>
      </c>
      <c r="N23">
        <v>92.05</v>
      </c>
      <c r="O23" s="15">
        <v>66.239999999999995</v>
      </c>
      <c r="P23" s="12">
        <f>N23*365*O23/1000</f>
        <v>2225.5480799999996</v>
      </c>
      <c r="Q23" s="3">
        <f>P23/K23</f>
        <v>2.922469344608879E-2</v>
      </c>
    </row>
    <row r="24" spans="1:17" x14ac:dyDescent="0.35">
      <c r="A24" s="4">
        <v>2017</v>
      </c>
      <c r="B24" s="2">
        <v>97302534</v>
      </c>
      <c r="C24" s="3">
        <f t="shared" ref="C24:C29" si="3">(B24-B23)/B23</f>
        <v>2.4489882341401488E-2</v>
      </c>
      <c r="D24" s="2">
        <v>801600</v>
      </c>
      <c r="E24" s="3">
        <f t="shared" ref="E24:E29" si="4">(D24-D23)/D23</f>
        <v>0.67804061126229853</v>
      </c>
      <c r="F24" s="3">
        <f t="shared" si="0"/>
        <v>8.2382232717598085E-3</v>
      </c>
      <c r="G24" s="12">
        <v>34670</v>
      </c>
      <c r="H24" s="3">
        <f>(G24-G23)/G23</f>
        <v>6.3860667634252537E-3</v>
      </c>
      <c r="I24" s="12">
        <f t="shared" si="1"/>
        <v>3373.47885378</v>
      </c>
      <c r="J24" s="12">
        <f t="shared" si="2"/>
        <v>27.791471999999999</v>
      </c>
      <c r="K24" s="12">
        <v>80823</v>
      </c>
      <c r="L24" s="3">
        <f t="shared" ref="L24:L29" si="5">(K24-K23)/K23</f>
        <v>6.1323913700051212E-2</v>
      </c>
      <c r="M24" s="3">
        <f t="shared" ref="M24:M39" si="6">I24/K24</f>
        <v>4.1739094735162019E-2</v>
      </c>
      <c r="N24">
        <v>92.55</v>
      </c>
      <c r="O24" s="15">
        <v>72.989999999999995</v>
      </c>
      <c r="P24" s="12">
        <f t="shared" ref="P24:P28" si="7">N24*365*O24/1000</f>
        <v>2465.6569424999998</v>
      </c>
      <c r="Q24" s="3">
        <f t="shared" ref="Q24:Q28" si="8">P24/K24</f>
        <v>3.0506872332133176E-2</v>
      </c>
    </row>
    <row r="25" spans="1:17" x14ac:dyDescent="0.35">
      <c r="A25" s="4">
        <v>2018</v>
      </c>
      <c r="B25" s="2">
        <v>95634593</v>
      </c>
      <c r="C25" s="3">
        <f t="shared" si="3"/>
        <v>-1.7141804343964978E-2</v>
      </c>
      <c r="D25" s="2">
        <v>1367800</v>
      </c>
      <c r="E25" s="3">
        <f t="shared" si="4"/>
        <v>0.70633732534930138</v>
      </c>
      <c r="F25" s="3">
        <f t="shared" si="0"/>
        <v>1.4302356052270751E-2</v>
      </c>
      <c r="G25" s="12">
        <v>35610</v>
      </c>
      <c r="H25" s="3">
        <f>(G25-G24)/G24</f>
        <v>2.7112777617536776E-2</v>
      </c>
      <c r="I25" s="12">
        <f t="shared" si="1"/>
        <v>3405.5478567300001</v>
      </c>
      <c r="J25" s="12">
        <f t="shared" si="2"/>
        <v>48.707357999999999</v>
      </c>
      <c r="K25" s="12">
        <v>86085</v>
      </c>
      <c r="L25" s="3">
        <f t="shared" si="5"/>
        <v>6.5105229946921056E-2</v>
      </c>
      <c r="M25" s="3">
        <f t="shared" si="6"/>
        <v>3.9560293392925598E-2</v>
      </c>
      <c r="N25">
        <v>94.87</v>
      </c>
      <c r="O25" s="15">
        <v>53.81</v>
      </c>
      <c r="P25" s="12">
        <f t="shared" si="7"/>
        <v>1863.3084655000002</v>
      </c>
      <c r="Q25" s="3">
        <f t="shared" si="8"/>
        <v>2.1644984207469364E-2</v>
      </c>
    </row>
    <row r="26" spans="1:17" x14ac:dyDescent="0.35">
      <c r="A26" s="4">
        <v>2019</v>
      </c>
      <c r="B26" s="2">
        <v>91227182</v>
      </c>
      <c r="C26" s="3">
        <f t="shared" si="3"/>
        <v>-4.6085949254784826E-2</v>
      </c>
      <c r="D26" s="2">
        <v>1624600</v>
      </c>
      <c r="E26" s="3">
        <f t="shared" si="4"/>
        <v>0.18774674660038018</v>
      </c>
      <c r="F26" s="3">
        <f t="shared" si="0"/>
        <v>1.7808288762005166E-2</v>
      </c>
      <c r="G26" s="12">
        <v>36820</v>
      </c>
      <c r="H26" s="3">
        <f>(G26-G25)/G25</f>
        <v>3.3979219320415616E-2</v>
      </c>
      <c r="I26" s="12">
        <f t="shared" si="1"/>
        <v>3358.9848412400002</v>
      </c>
      <c r="J26" s="12">
        <f t="shared" si="2"/>
        <v>59.817771999999998</v>
      </c>
      <c r="K26" s="12">
        <v>87536</v>
      </c>
      <c r="L26" s="3">
        <f t="shared" si="5"/>
        <v>1.6855433583086485E-2</v>
      </c>
      <c r="M26" s="3">
        <f t="shared" si="6"/>
        <v>3.8372610597239995E-2</v>
      </c>
      <c r="N26">
        <v>94.92</v>
      </c>
      <c r="O26" s="15">
        <v>70.989999999999995</v>
      </c>
      <c r="P26" s="12">
        <f t="shared" si="7"/>
        <v>2459.5053420000004</v>
      </c>
      <c r="Q26" s="3">
        <f t="shared" si="8"/>
        <v>2.8097072541582897E-2</v>
      </c>
    </row>
    <row r="27" spans="1:17" x14ac:dyDescent="0.35">
      <c r="A27" s="4">
        <v>2020</v>
      </c>
      <c r="B27" s="2">
        <v>78774320</v>
      </c>
      <c r="C27" s="3">
        <f t="shared" si="3"/>
        <v>-0.13650385473925963</v>
      </c>
      <c r="D27" s="2">
        <v>2165400</v>
      </c>
      <c r="E27" s="3">
        <f t="shared" si="4"/>
        <v>0.33288194016988798</v>
      </c>
      <c r="F27" s="3">
        <f t="shared" si="0"/>
        <v>2.7488653662767256E-2</v>
      </c>
      <c r="G27" s="12">
        <v>38960</v>
      </c>
      <c r="H27" s="3">
        <f>(G27-G26)/G26</f>
        <v>5.8120586637696904E-2</v>
      </c>
      <c r="I27" s="12">
        <f t="shared" si="1"/>
        <v>3069.0475071999999</v>
      </c>
      <c r="J27" s="12">
        <f t="shared" si="2"/>
        <v>84.363984000000002</v>
      </c>
      <c r="K27" s="12">
        <v>85239</v>
      </c>
      <c r="L27" s="3">
        <f t="shared" si="5"/>
        <v>-2.6240632425516358E-2</v>
      </c>
      <c r="M27" s="3">
        <f t="shared" si="6"/>
        <v>3.6005203101866515E-2</v>
      </c>
      <c r="N27">
        <v>88.49</v>
      </c>
      <c r="O27" s="15">
        <v>55.46</v>
      </c>
      <c r="P27" s="12">
        <f t="shared" si="7"/>
        <v>1791.2942209999999</v>
      </c>
      <c r="Q27" s="3">
        <f t="shared" si="8"/>
        <v>2.1014960534497119E-2</v>
      </c>
    </row>
    <row r="28" spans="1:17" x14ac:dyDescent="0.35">
      <c r="A28" s="4">
        <v>2021</v>
      </c>
      <c r="B28" s="2">
        <v>82684788</v>
      </c>
      <c r="C28" s="3">
        <f t="shared" si="3"/>
        <v>4.9641405981035447E-2</v>
      </c>
      <c r="D28" s="2">
        <v>4599400</v>
      </c>
      <c r="E28" s="3">
        <f t="shared" si="4"/>
        <v>1.1240417474831439</v>
      </c>
      <c r="F28" s="3">
        <f t="shared" si="0"/>
        <v>5.5625709531963725E-2</v>
      </c>
      <c r="G28" s="12">
        <v>42380</v>
      </c>
      <c r="H28" s="3">
        <f>(G28-G27)/G27</f>
        <v>8.7782340862422994E-2</v>
      </c>
      <c r="I28" s="12">
        <f t="shared" si="1"/>
        <v>3504.1813154400002</v>
      </c>
      <c r="J28" s="12">
        <f t="shared" si="2"/>
        <v>194.922572</v>
      </c>
      <c r="K28" s="12">
        <v>96293</v>
      </c>
      <c r="L28" s="3">
        <f t="shared" si="5"/>
        <v>0.12968242236534919</v>
      </c>
      <c r="M28" s="3">
        <f t="shared" si="6"/>
        <v>3.6390820884591821E-2</v>
      </c>
      <c r="N28">
        <v>89.88</v>
      </c>
      <c r="O28" s="15">
        <v>80.319999999999993</v>
      </c>
      <c r="P28" s="12">
        <f t="shared" si="7"/>
        <v>2634.9939839999997</v>
      </c>
      <c r="Q28" s="3">
        <f t="shared" si="8"/>
        <v>2.7364335766878172E-2</v>
      </c>
    </row>
    <row r="29" spans="1:17" x14ac:dyDescent="0.35">
      <c r="A29" s="4">
        <v>2022</v>
      </c>
      <c r="B29" s="2">
        <v>81700000</v>
      </c>
      <c r="C29" s="3">
        <f t="shared" si="3"/>
        <v>-1.191014724498054E-2</v>
      </c>
      <c r="D29" s="2">
        <v>8000000</v>
      </c>
      <c r="E29" s="3">
        <f t="shared" si="4"/>
        <v>0.73935730747488804</v>
      </c>
      <c r="F29" s="3">
        <f t="shared" si="0"/>
        <v>9.7919216646266835E-2</v>
      </c>
      <c r="G29" s="13">
        <f t="shared" ref="G29:G39" si="9">G28*(1+H29)</f>
        <v>44922.8</v>
      </c>
      <c r="H29" s="9">
        <v>0.06</v>
      </c>
      <c r="I29" s="12">
        <f t="shared" si="1"/>
        <v>3670.1927599999999</v>
      </c>
      <c r="J29" s="12">
        <f t="shared" si="2"/>
        <v>359.38240000000002</v>
      </c>
      <c r="K29" s="12">
        <v>103867</v>
      </c>
      <c r="L29" s="3">
        <f t="shared" si="5"/>
        <v>7.8655769370566911E-2</v>
      </c>
      <c r="M29" s="3">
        <f t="shared" si="6"/>
        <v>3.5335503672966388E-2</v>
      </c>
    </row>
    <row r="30" spans="1:17" x14ac:dyDescent="0.35">
      <c r="A30" s="10">
        <v>2023</v>
      </c>
      <c r="B30" s="8">
        <f t="shared" ref="B30:B39" si="10">B29*(1+C30)</f>
        <v>73530000</v>
      </c>
      <c r="C30" s="9">
        <v>-0.1</v>
      </c>
      <c r="D30" s="8">
        <f t="shared" ref="D30:D38" si="11">D29*(1+E30)</f>
        <v>12000000</v>
      </c>
      <c r="E30" s="9">
        <v>0.5</v>
      </c>
      <c r="F30" s="9">
        <f t="shared" si="0"/>
        <v>0.16319869441044471</v>
      </c>
      <c r="G30" s="13">
        <f t="shared" si="9"/>
        <v>45911.101600000002</v>
      </c>
      <c r="H30" s="9">
        <v>2.1999999999999999E-2</v>
      </c>
      <c r="I30" s="13">
        <f t="shared" si="1"/>
        <v>3375.843300648</v>
      </c>
      <c r="J30" s="13">
        <f t="shared" si="2"/>
        <v>550.93321920000005</v>
      </c>
      <c r="K30" s="13">
        <f>K29*(1+L30)</f>
        <v>105944.34</v>
      </c>
      <c r="L30" s="9">
        <v>0.02</v>
      </c>
      <c r="M30" s="9">
        <f t="shared" si="6"/>
        <v>3.186431007685734E-2</v>
      </c>
    </row>
    <row r="31" spans="1:17" x14ac:dyDescent="0.35">
      <c r="A31" s="10">
        <v>2024</v>
      </c>
      <c r="B31" s="8">
        <f t="shared" si="10"/>
        <v>82353600.000000015</v>
      </c>
      <c r="C31" s="9">
        <v>0.12</v>
      </c>
      <c r="D31" s="8">
        <f t="shared" si="11"/>
        <v>18000000</v>
      </c>
      <c r="E31" s="9">
        <v>0.5</v>
      </c>
      <c r="F31" s="9">
        <f t="shared" si="0"/>
        <v>0.21856968001398841</v>
      </c>
      <c r="G31" s="13">
        <f t="shared" si="9"/>
        <v>46921.145835200005</v>
      </c>
      <c r="H31" s="9">
        <v>2.1999999999999999E-2</v>
      </c>
      <c r="I31" s="13">
        <f t="shared" si="1"/>
        <v>3864.1252756537278</v>
      </c>
      <c r="J31" s="13">
        <f t="shared" si="2"/>
        <v>844.58062503360009</v>
      </c>
      <c r="K31" s="13">
        <f t="shared" ref="K31:K39" si="12">K30*(1+L31)</f>
        <v>113360.44380000001</v>
      </c>
      <c r="L31" s="9">
        <v>7.0000000000000007E-2</v>
      </c>
      <c r="M31" s="9">
        <f t="shared" si="6"/>
        <v>3.4087069052685971E-2</v>
      </c>
    </row>
    <row r="32" spans="1:17" x14ac:dyDescent="0.35">
      <c r="A32" s="10">
        <v>2025</v>
      </c>
      <c r="B32" s="8">
        <f t="shared" si="10"/>
        <v>84824208.000000015</v>
      </c>
      <c r="C32" s="9">
        <v>0.03</v>
      </c>
      <c r="D32" s="8">
        <f t="shared" si="11"/>
        <v>27000000</v>
      </c>
      <c r="E32" s="9">
        <v>0.5</v>
      </c>
      <c r="F32" s="9">
        <f t="shared" si="0"/>
        <v>0.31830535924367248</v>
      </c>
      <c r="G32" s="13">
        <f t="shared" si="9"/>
        <v>47953.411043574408</v>
      </c>
      <c r="H32" s="9">
        <v>2.1999999999999999E-2</v>
      </c>
      <c r="I32" s="13">
        <f t="shared" si="1"/>
        <v>4067.6101126696535</v>
      </c>
      <c r="J32" s="13">
        <f t="shared" si="2"/>
        <v>1294.742098176509</v>
      </c>
      <c r="K32" s="13">
        <f t="shared" si="12"/>
        <v>119028.46599000001</v>
      </c>
      <c r="L32" s="9">
        <v>0.05</v>
      </c>
      <c r="M32" s="9">
        <f t="shared" si="6"/>
        <v>3.4173422960952778E-2</v>
      </c>
    </row>
    <row r="33" spans="1:13" x14ac:dyDescent="0.35">
      <c r="A33" s="10">
        <v>2026</v>
      </c>
      <c r="B33" s="8">
        <f t="shared" si="10"/>
        <v>87368934.240000024</v>
      </c>
      <c r="C33" s="9">
        <v>0.03</v>
      </c>
      <c r="D33" s="8">
        <f t="shared" si="11"/>
        <v>36450000</v>
      </c>
      <c r="E33" s="9">
        <v>0.35</v>
      </c>
      <c r="F33" s="9">
        <f t="shared" si="0"/>
        <v>0.41719634463976485</v>
      </c>
      <c r="G33" s="13">
        <f t="shared" si="9"/>
        <v>49008.386086533043</v>
      </c>
      <c r="H33" s="9">
        <v>2.1999999999999999E-2</v>
      </c>
      <c r="I33" s="13">
        <f t="shared" si="1"/>
        <v>4281.8104612028374</v>
      </c>
      <c r="J33" s="13">
        <f t="shared" si="2"/>
        <v>1786.3556728541294</v>
      </c>
      <c r="K33" s="13">
        <f t="shared" si="12"/>
        <v>124979.88928950002</v>
      </c>
      <c r="L33" s="9">
        <v>0.05</v>
      </c>
      <c r="M33" s="9">
        <f t="shared" si="6"/>
        <v>3.4259995632453862E-2</v>
      </c>
    </row>
    <row r="34" spans="1:13" x14ac:dyDescent="0.35">
      <c r="A34" s="10">
        <v>2027</v>
      </c>
      <c r="B34" s="8">
        <f t="shared" si="10"/>
        <v>89990002.267200023</v>
      </c>
      <c r="C34" s="9">
        <v>0.03</v>
      </c>
      <c r="D34" s="8">
        <f t="shared" si="11"/>
        <v>46291500</v>
      </c>
      <c r="E34" s="9">
        <v>0.27</v>
      </c>
      <c r="F34" s="9">
        <f t="shared" si="0"/>
        <v>0.51440714339077798</v>
      </c>
      <c r="G34" s="13">
        <f t="shared" si="9"/>
        <v>50086.570580436768</v>
      </c>
      <c r="H34" s="9">
        <v>2.1999999999999999E-2</v>
      </c>
      <c r="I34" s="13">
        <f t="shared" si="1"/>
        <v>4507.2906000897783</v>
      </c>
      <c r="J34" s="13">
        <f t="shared" si="2"/>
        <v>2318.5824820242888</v>
      </c>
      <c r="K34" s="13">
        <f t="shared" si="12"/>
        <v>131228.88375397501</v>
      </c>
      <c r="L34" s="9">
        <v>0.05</v>
      </c>
      <c r="M34" s="9">
        <f t="shared" si="6"/>
        <v>3.4346787621389409E-2</v>
      </c>
    </row>
    <row r="35" spans="1:13" x14ac:dyDescent="0.35">
      <c r="A35" s="10">
        <v>2028</v>
      </c>
      <c r="B35" s="8">
        <f t="shared" si="10"/>
        <v>92689702.33521603</v>
      </c>
      <c r="C35" s="9">
        <v>0.03</v>
      </c>
      <c r="D35" s="8">
        <f t="shared" si="11"/>
        <v>56938545</v>
      </c>
      <c r="E35" s="9">
        <v>0.23</v>
      </c>
      <c r="F35" s="9">
        <f t="shared" si="0"/>
        <v>0.61429202560257956</v>
      </c>
      <c r="G35" s="13">
        <f t="shared" si="9"/>
        <v>51188.475133206375</v>
      </c>
      <c r="H35" s="9">
        <v>2.1999999999999999E-2</v>
      </c>
      <c r="I35" s="13">
        <f t="shared" si="1"/>
        <v>4744.6445230905065</v>
      </c>
      <c r="J35" s="13">
        <f t="shared" si="2"/>
        <v>2914.5972948534522</v>
      </c>
      <c r="K35" s="13">
        <f t="shared" si="12"/>
        <v>137790.32794167378</v>
      </c>
      <c r="L35" s="9">
        <v>0.05</v>
      </c>
      <c r="M35" s="9">
        <f t="shared" si="6"/>
        <v>3.4433799483363593E-2</v>
      </c>
    </row>
    <row r="36" spans="1:13" x14ac:dyDescent="0.35">
      <c r="A36" s="10">
        <v>2029</v>
      </c>
      <c r="B36" s="8">
        <f t="shared" si="10"/>
        <v>95470393.405272514</v>
      </c>
      <c r="C36" s="9">
        <v>0.03</v>
      </c>
      <c r="D36" s="8">
        <f t="shared" si="11"/>
        <v>68041561.275000006</v>
      </c>
      <c r="E36" s="9">
        <v>0.19500000000000001</v>
      </c>
      <c r="F36" s="9">
        <f t="shared" si="0"/>
        <v>0.71269802970396368</v>
      </c>
      <c r="G36" s="13">
        <f t="shared" si="9"/>
        <v>52314.621586136913</v>
      </c>
      <c r="H36" s="9">
        <v>2.1999999999999999E-2</v>
      </c>
      <c r="I36" s="13">
        <f t="shared" si="1"/>
        <v>4994.4975036764517</v>
      </c>
      <c r="J36" s="13">
        <f t="shared" si="2"/>
        <v>3559.5685302315728</v>
      </c>
      <c r="K36" s="13">
        <f t="shared" si="12"/>
        <v>144679.84433875748</v>
      </c>
      <c r="L36" s="9">
        <v>0.05</v>
      </c>
      <c r="M36" s="9">
        <f t="shared" si="6"/>
        <v>3.4521031775388102E-2</v>
      </c>
    </row>
    <row r="37" spans="1:13" x14ac:dyDescent="0.35">
      <c r="A37" s="10">
        <v>2030</v>
      </c>
      <c r="B37" s="8">
        <f t="shared" si="10"/>
        <v>98334505.207430691</v>
      </c>
      <c r="C37" s="9">
        <v>0.03</v>
      </c>
      <c r="D37" s="8">
        <f t="shared" si="11"/>
        <v>79608626.691750005</v>
      </c>
      <c r="E37" s="9">
        <v>0.17</v>
      </c>
      <c r="F37" s="9">
        <f t="shared" si="0"/>
        <v>0.80956960655692956</v>
      </c>
      <c r="G37" s="13">
        <f t="shared" si="9"/>
        <v>53465.543261031926</v>
      </c>
      <c r="H37" s="9">
        <v>2.1999999999999999E-2</v>
      </c>
      <c r="I37" s="13">
        <f t="shared" si="1"/>
        <v>5257.5077422200548</v>
      </c>
      <c r="J37" s="13">
        <f t="shared" si="2"/>
        <v>4256.3184743391002</v>
      </c>
      <c r="K37" s="13">
        <f t="shared" si="12"/>
        <v>151913.83655569536</v>
      </c>
      <c r="L37" s="9">
        <v>0.05</v>
      </c>
      <c r="M37" s="9">
        <f t="shared" si="6"/>
        <v>3.4608485055885756E-2</v>
      </c>
    </row>
    <row r="38" spans="1:13" x14ac:dyDescent="0.35">
      <c r="A38" s="10">
        <v>2031</v>
      </c>
      <c r="B38" s="8">
        <f t="shared" si="10"/>
        <v>101284540.36365362</v>
      </c>
      <c r="C38" s="9">
        <v>0.03</v>
      </c>
      <c r="D38" s="8">
        <f t="shared" si="11"/>
        <v>91549920.695512503</v>
      </c>
      <c r="E38" s="9">
        <v>0.15</v>
      </c>
      <c r="F38" s="9">
        <f t="shared" si="0"/>
        <v>0.90388839567035817</v>
      </c>
      <c r="G38" s="13">
        <f t="shared" si="9"/>
        <v>54641.78521277463</v>
      </c>
      <c r="H38" s="9">
        <v>2.1999999999999999E-2</v>
      </c>
      <c r="I38" s="13">
        <f t="shared" si="1"/>
        <v>5534.3680999253629</v>
      </c>
      <c r="J38" s="13">
        <f t="shared" si="2"/>
        <v>5002.4511028907455</v>
      </c>
      <c r="K38" s="13">
        <f t="shared" si="12"/>
        <v>159509.52838348015</v>
      </c>
      <c r="L38" s="9">
        <v>0.05</v>
      </c>
      <c r="M38" s="9">
        <f t="shared" si="6"/>
        <v>3.4696159884693996E-2</v>
      </c>
    </row>
    <row r="39" spans="1:13" x14ac:dyDescent="0.35">
      <c r="A39" s="10">
        <v>2032</v>
      </c>
      <c r="B39" s="8">
        <f t="shared" si="10"/>
        <v>104323076.57456322</v>
      </c>
      <c r="C39" s="9">
        <v>0.03</v>
      </c>
      <c r="D39" s="8">
        <f>B39</f>
        <v>104323076.57456322</v>
      </c>
      <c r="E39" s="9">
        <f>(D39-D38)/D38</f>
        <v>0.13952121183734481</v>
      </c>
      <c r="F39" s="9">
        <f t="shared" si="0"/>
        <v>1</v>
      </c>
      <c r="G39" s="13">
        <f t="shared" si="9"/>
        <v>55843.904487455671</v>
      </c>
      <c r="H39" s="9">
        <v>2.1999999999999999E-2</v>
      </c>
      <c r="I39" s="13">
        <f t="shared" si="1"/>
        <v>5825.8079240674324</v>
      </c>
      <c r="J39" s="13">
        <f t="shared" si="2"/>
        <v>5825.8079240674324</v>
      </c>
      <c r="K39" s="13">
        <f t="shared" si="12"/>
        <v>167485.00480265418</v>
      </c>
      <c r="L39" s="9">
        <v>0.05</v>
      </c>
      <c r="M39" s="9">
        <f t="shared" si="6"/>
        <v>3.4784056823068552E-2</v>
      </c>
    </row>
    <row r="40" spans="1:13" x14ac:dyDescent="0.35">
      <c r="A40" s="10">
        <v>2033</v>
      </c>
      <c r="B40" s="8">
        <f t="shared" ref="B40" si="13">B39*(1+C40)</f>
        <v>107452768.87180012</v>
      </c>
      <c r="C40" s="9">
        <v>0.03</v>
      </c>
      <c r="D40" s="8">
        <f>B40</f>
        <v>107452768.87180012</v>
      </c>
      <c r="E40" s="9">
        <f>(D40-D39)/D39</f>
        <v>3.0000000000000075E-2</v>
      </c>
      <c r="F40" s="9">
        <f t="shared" ref="F40" si="14">D40/B40</f>
        <v>1</v>
      </c>
      <c r="G40" s="13">
        <f t="shared" ref="G40" si="15">G39*(1+H40)</f>
        <v>57072.470386179695</v>
      </c>
      <c r="H40" s="9">
        <v>2.1999999999999999E-2</v>
      </c>
      <c r="I40" s="13">
        <f t="shared" ref="I40" si="16">B40*G40/1000000000</f>
        <v>6132.5949693488246</v>
      </c>
      <c r="J40" s="13">
        <f t="shared" ref="J40" si="17">D40*G40/1000000000</f>
        <v>6132.5949693488246</v>
      </c>
      <c r="K40" s="13">
        <f t="shared" ref="K40" si="18">K39*(1+L40)</f>
        <v>175859.25504278688</v>
      </c>
      <c r="L40" s="9">
        <v>0.05</v>
      </c>
      <c r="M40" s="9">
        <f t="shared" ref="M40" si="19">I40/K40</f>
        <v>3.4872176433687001E-2</v>
      </c>
    </row>
    <row r="42" spans="1:13" x14ac:dyDescent="0.35">
      <c r="A42" s="4" t="s">
        <v>56</v>
      </c>
    </row>
    <row r="43" spans="1:13" x14ac:dyDescent="0.35">
      <c r="A43" s="11" t="s">
        <v>57</v>
      </c>
      <c r="C43" s="3">
        <f>((B29/B23)^(1/($A29-$A23)))-1</f>
        <v>-2.4783748533292127E-2</v>
      </c>
      <c r="E43" s="3">
        <f>((D29/D23)^(1/($A29-$A23)))-1</f>
        <v>0.59951797256853889</v>
      </c>
      <c r="F43" s="3"/>
      <c r="G43" s="3"/>
      <c r="H43" s="3">
        <f>((G29/G23)^(1/($A29-$A23)))-1</f>
        <v>4.5232564674618114E-2</v>
      </c>
      <c r="I43" s="3"/>
      <c r="K43" s="3"/>
      <c r="L43" s="3">
        <f>((K29/K23)^(1/($A29-$A23)))-1</f>
        <v>5.3089045648502031E-2</v>
      </c>
    </row>
    <row r="44" spans="1:13" x14ac:dyDescent="0.35">
      <c r="A44" s="11" t="s">
        <v>64</v>
      </c>
      <c r="C44" s="3">
        <f>((B39/B29)^(1/($A39-$A29)))-1</f>
        <v>2.4745059032062366E-2</v>
      </c>
      <c r="E44" s="3">
        <f>((D39/D29)^(1/($A39-$A29)))-1</f>
        <v>0.29279314299673476</v>
      </c>
      <c r="F44" s="3"/>
      <c r="G44" s="3"/>
      <c r="H44" s="3">
        <f>((G39/G29)^(1/($A39-$A29)))-1</f>
        <v>2.200000000000002E-2</v>
      </c>
      <c r="I44" s="3"/>
      <c r="J44" s="3"/>
      <c r="K44" s="3"/>
      <c r="L44" s="3">
        <f>((K39/K29)^(1/($A39-$A29)))-1</f>
        <v>4.8938036873920288E-2</v>
      </c>
    </row>
    <row r="45" spans="1:13" x14ac:dyDescent="0.35">
      <c r="A45" s="11" t="s">
        <v>60</v>
      </c>
      <c r="C45" s="3">
        <f>((B39/B23)^(1/($A39-$A23)))-1</f>
        <v>5.8836391596777116E-3</v>
      </c>
      <c r="E45" s="3">
        <f>((D39/D23)^(1/($A39-$A23)))-1</f>
        <v>0.40023707175349177</v>
      </c>
      <c r="F45" s="3"/>
      <c r="G45" s="3"/>
      <c r="H45" s="3">
        <f>((G39/G23)^(1/($A39-$A23)))-1</f>
        <v>3.0651072051166794E-2</v>
      </c>
      <c r="I45" s="3"/>
      <c r="J45" s="3"/>
      <c r="K45" s="3"/>
      <c r="L45" s="3">
        <f>((K39/K23)^(1/($A39-$A23)))-1</f>
        <v>5.0492744244567289E-2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9"/>
  <sheetViews>
    <sheetView topLeftCell="A16" workbookViewId="0">
      <selection activeCell="P6" sqref="P6"/>
    </sheetView>
  </sheetViews>
  <sheetFormatPr defaultRowHeight="14.5" x14ac:dyDescent="0.35"/>
  <cols>
    <col min="2" max="2" width="11.1796875" customWidth="1"/>
    <col min="3" max="3" width="11" customWidth="1"/>
    <col min="9" max="9" width="11.26953125" customWidth="1"/>
    <col min="10" max="10" width="13" customWidth="1"/>
    <col min="15" max="17" width="10.81640625" customWidth="1"/>
    <col min="18" max="18" width="11.7265625" customWidth="1"/>
    <col min="19" max="19" width="13.36328125" customWidth="1"/>
    <col min="20" max="20" width="12.453125" customWidth="1"/>
  </cols>
  <sheetData>
    <row r="1" spans="1:20" ht="28.5" x14ac:dyDescent="0.65">
      <c r="A1" s="19" t="str">
        <f>BEVgrowth!A1</f>
        <v>Tesla and BYD’s epic battle for BEV supremacy. Who is winning? #30</v>
      </c>
    </row>
    <row r="3" spans="1:20" ht="15.5" x14ac:dyDescent="0.35">
      <c r="A3" s="20" t="str">
        <f>BEVgrowth!A3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20" ht="15.5" x14ac:dyDescent="0.35">
      <c r="A4" s="20" t="str">
        <f>BEVgrowth!A4</f>
        <v>Sources to all information used in this spreadsheet can also be found in associated PowerPoint presentation located also at www.hmexperience.dk</v>
      </c>
    </row>
    <row r="9" spans="1:20" ht="23.5" x14ac:dyDescent="0.55000000000000004">
      <c r="A9" s="5" t="s">
        <v>105</v>
      </c>
      <c r="M9" s="5" t="s">
        <v>104</v>
      </c>
    </row>
    <row r="10" spans="1:20" x14ac:dyDescent="0.35">
      <c r="A10" t="s">
        <v>95</v>
      </c>
      <c r="M10" t="s">
        <v>95</v>
      </c>
    </row>
    <row r="11" spans="1:20" x14ac:dyDescent="0.35">
      <c r="A11" s="16" t="s">
        <v>94</v>
      </c>
      <c r="M11" s="16" t="s">
        <v>103</v>
      </c>
    </row>
    <row r="13" spans="1:20" x14ac:dyDescent="0.35">
      <c r="A13" t="s">
        <v>132</v>
      </c>
      <c r="H13" s="6">
        <f>(H46-H33)/H33</f>
        <v>4.2673567166877602</v>
      </c>
      <c r="N13" s="6">
        <f>(N46-N33)/N33</f>
        <v>18.555555555555557</v>
      </c>
    </row>
    <row r="15" spans="1:20" x14ac:dyDescent="0.35">
      <c r="A15" s="4" t="s">
        <v>37</v>
      </c>
      <c r="B15" s="4" t="s">
        <v>38</v>
      </c>
      <c r="C15" s="4" t="s">
        <v>40</v>
      </c>
      <c r="D15" s="4" t="s">
        <v>41</v>
      </c>
      <c r="E15" s="4" t="s">
        <v>43</v>
      </c>
      <c r="F15" s="4" t="s">
        <v>44</v>
      </c>
      <c r="G15" s="4" t="s">
        <v>45</v>
      </c>
      <c r="H15" s="4" t="s">
        <v>40</v>
      </c>
      <c r="I15" t="s">
        <v>48</v>
      </c>
      <c r="J15" t="s">
        <v>56</v>
      </c>
      <c r="M15" s="4" t="s">
        <v>37</v>
      </c>
      <c r="N15" s="4" t="s">
        <v>106</v>
      </c>
      <c r="O15" t="s">
        <v>106</v>
      </c>
      <c r="P15" t="s">
        <v>106</v>
      </c>
      <c r="Q15" t="s">
        <v>106</v>
      </c>
      <c r="R15" s="4" t="s">
        <v>48</v>
      </c>
      <c r="S15" t="s">
        <v>56</v>
      </c>
      <c r="T15" s="4" t="s">
        <v>133</v>
      </c>
    </row>
    <row r="16" spans="1:20" x14ac:dyDescent="0.35">
      <c r="A16" s="4"/>
      <c r="B16" s="17" t="s">
        <v>39</v>
      </c>
      <c r="C16" s="17" t="s">
        <v>39</v>
      </c>
      <c r="D16" s="17" t="s">
        <v>42</v>
      </c>
      <c r="E16" s="17" t="s">
        <v>42</v>
      </c>
      <c r="F16" s="4" t="s">
        <v>42</v>
      </c>
      <c r="G16" s="4" t="s">
        <v>46</v>
      </c>
      <c r="H16" s="17" t="s">
        <v>47</v>
      </c>
      <c r="I16" s="2"/>
      <c r="J16" s="4" t="s">
        <v>108</v>
      </c>
      <c r="M16" s="4"/>
      <c r="N16" s="4" t="s">
        <v>37</v>
      </c>
      <c r="O16" s="4" t="s">
        <v>100</v>
      </c>
      <c r="P16" s="4" t="s">
        <v>101</v>
      </c>
      <c r="Q16" s="4" t="s">
        <v>102</v>
      </c>
      <c r="R16" s="17"/>
      <c r="S16" s="4" t="s">
        <v>108</v>
      </c>
      <c r="T16" s="4" t="s">
        <v>134</v>
      </c>
    </row>
    <row r="17" spans="1:18" x14ac:dyDescent="0.35">
      <c r="A17" t="s">
        <v>5</v>
      </c>
      <c r="B17" s="2">
        <v>131883</v>
      </c>
      <c r="C17" s="2">
        <v>15510</v>
      </c>
      <c r="D17" s="2">
        <v>12420</v>
      </c>
      <c r="E17" s="2">
        <v>2400</v>
      </c>
      <c r="H17" s="17">
        <v>14820</v>
      </c>
      <c r="I17" s="2"/>
      <c r="M17" t="s">
        <v>5</v>
      </c>
      <c r="N17" s="4"/>
      <c r="O17" s="2"/>
      <c r="P17" s="2"/>
      <c r="Q17" s="2"/>
      <c r="R17" s="2"/>
    </row>
    <row r="18" spans="1:18" x14ac:dyDescent="0.35">
      <c r="A18" t="s">
        <v>6</v>
      </c>
      <c r="B18" s="2">
        <v>150228</v>
      </c>
      <c r="C18" s="2">
        <v>18345</v>
      </c>
      <c r="D18" s="2">
        <v>9764</v>
      </c>
      <c r="E18" s="2">
        <v>4638</v>
      </c>
      <c r="H18" s="17">
        <v>14402</v>
      </c>
      <c r="I18" s="2"/>
      <c r="M18" t="s">
        <v>6</v>
      </c>
      <c r="N18" s="4"/>
      <c r="O18" s="2"/>
      <c r="P18" s="2"/>
      <c r="Q18" s="2"/>
      <c r="R18" s="2"/>
    </row>
    <row r="19" spans="1:18" x14ac:dyDescent="0.35">
      <c r="A19" t="s">
        <v>7</v>
      </c>
      <c r="B19" s="2">
        <v>175413</v>
      </c>
      <c r="C19" s="2">
        <v>25185</v>
      </c>
      <c r="D19" s="2">
        <v>16047</v>
      </c>
      <c r="E19" s="2">
        <v>8774</v>
      </c>
      <c r="H19" s="17">
        <v>24821</v>
      </c>
      <c r="I19" s="2"/>
      <c r="M19" t="s">
        <v>7</v>
      </c>
      <c r="N19" s="4"/>
      <c r="O19" s="2"/>
      <c r="P19" s="2"/>
      <c r="Q19" s="2"/>
      <c r="R19" s="2"/>
    </row>
    <row r="20" spans="1:18" x14ac:dyDescent="0.35">
      <c r="A20" t="s">
        <v>49</v>
      </c>
      <c r="B20" s="2">
        <v>200295</v>
      </c>
      <c r="C20" s="2">
        <v>24882</v>
      </c>
      <c r="D20" s="2">
        <v>12700</v>
      </c>
      <c r="E20" s="2">
        <v>9500</v>
      </c>
      <c r="H20" s="17">
        <v>22254</v>
      </c>
      <c r="I20" s="2">
        <f>SUM(H17:H20)</f>
        <v>76297</v>
      </c>
      <c r="M20" t="s">
        <v>49</v>
      </c>
      <c r="N20" s="4"/>
      <c r="O20" s="2"/>
      <c r="P20" s="2"/>
      <c r="Q20" s="2"/>
      <c r="R20" s="2">
        <f>SUM(N17:N20)</f>
        <v>0</v>
      </c>
    </row>
    <row r="21" spans="1:18" x14ac:dyDescent="0.35">
      <c r="A21" t="s">
        <v>8</v>
      </c>
      <c r="B21" s="2">
        <v>225713</v>
      </c>
      <c r="C21" s="2">
        <v>25418</v>
      </c>
      <c r="D21" t="s">
        <v>9</v>
      </c>
      <c r="E21" t="s">
        <v>10</v>
      </c>
      <c r="H21" s="17">
        <v>25051</v>
      </c>
      <c r="M21" t="s">
        <v>8</v>
      </c>
      <c r="N21" s="4"/>
      <c r="O21" s="2"/>
      <c r="P21" s="2"/>
      <c r="Q21" s="2"/>
    </row>
    <row r="22" spans="1:18" x14ac:dyDescent="0.35">
      <c r="A22" t="s">
        <v>11</v>
      </c>
      <c r="B22" s="2">
        <v>251421</v>
      </c>
      <c r="C22" s="2">
        <v>25708</v>
      </c>
      <c r="D22" t="s">
        <v>12</v>
      </c>
      <c r="E22" t="s">
        <v>13</v>
      </c>
      <c r="H22" s="17">
        <v>22026</v>
      </c>
      <c r="M22" t="s">
        <v>11</v>
      </c>
      <c r="N22" s="4"/>
      <c r="O22" s="2"/>
      <c r="P22" s="2"/>
      <c r="Q22" s="2"/>
    </row>
    <row r="23" spans="1:18" x14ac:dyDescent="0.35">
      <c r="A23" t="s">
        <v>14</v>
      </c>
      <c r="B23" s="2">
        <v>276757</v>
      </c>
      <c r="C23" s="2">
        <v>25336</v>
      </c>
      <c r="D23" s="2">
        <v>14065</v>
      </c>
      <c r="E23" s="2">
        <v>11865</v>
      </c>
      <c r="F23">
        <v>222</v>
      </c>
      <c r="H23" s="17">
        <v>26137</v>
      </c>
      <c r="I23" s="2"/>
      <c r="M23" t="s">
        <v>14</v>
      </c>
      <c r="N23" s="4"/>
      <c r="O23" s="2"/>
      <c r="P23" s="2"/>
      <c r="Q23" s="2"/>
      <c r="R23" s="2"/>
    </row>
    <row r="24" spans="1:18" x14ac:dyDescent="0.35">
      <c r="A24" t="s">
        <v>15</v>
      </c>
      <c r="B24" s="2">
        <v>301322</v>
      </c>
      <c r="C24" s="2">
        <v>24565</v>
      </c>
      <c r="D24" t="s">
        <v>16</v>
      </c>
      <c r="E24" t="s">
        <v>17</v>
      </c>
      <c r="F24" s="2">
        <v>1542</v>
      </c>
      <c r="H24" s="17">
        <v>29967</v>
      </c>
      <c r="I24" s="2">
        <f>SUM(H21:H24)</f>
        <v>103181</v>
      </c>
      <c r="M24" t="s">
        <v>15</v>
      </c>
      <c r="N24" s="4"/>
      <c r="O24" s="2"/>
      <c r="P24" s="2"/>
      <c r="Q24" s="2"/>
      <c r="R24" s="2">
        <f>SUM(N21:N24)</f>
        <v>0</v>
      </c>
    </row>
    <row r="25" spans="1:18" x14ac:dyDescent="0.35">
      <c r="A25" t="s">
        <v>18</v>
      </c>
      <c r="B25" s="2">
        <v>335816</v>
      </c>
      <c r="C25" s="2">
        <v>34494</v>
      </c>
      <c r="D25" s="2">
        <v>11730</v>
      </c>
      <c r="E25" s="2">
        <v>10070</v>
      </c>
      <c r="F25" s="2">
        <v>8182</v>
      </c>
      <c r="H25" s="17">
        <v>29997</v>
      </c>
      <c r="I25" s="2"/>
      <c r="M25" t="s">
        <v>18</v>
      </c>
      <c r="N25" s="4"/>
      <c r="O25" s="2"/>
      <c r="P25" s="2"/>
      <c r="Q25" s="2"/>
      <c r="R25" s="2"/>
    </row>
    <row r="26" spans="1:18" x14ac:dyDescent="0.35">
      <c r="A26" t="s">
        <v>19</v>
      </c>
      <c r="B26" s="2">
        <v>389155</v>
      </c>
      <c r="C26" s="2">
        <v>53339</v>
      </c>
      <c r="D26" s="2">
        <v>10930</v>
      </c>
      <c r="E26" s="2">
        <v>11370</v>
      </c>
      <c r="F26" s="2">
        <v>18440</v>
      </c>
      <c r="H26" s="17">
        <v>40740</v>
      </c>
      <c r="I26" s="2"/>
      <c r="M26" t="s">
        <v>19</v>
      </c>
      <c r="N26" s="4"/>
      <c r="O26" s="2"/>
      <c r="P26" s="2"/>
      <c r="Q26" s="2"/>
      <c r="R26" s="2"/>
    </row>
    <row r="27" spans="1:18" x14ac:dyDescent="0.35">
      <c r="A27" t="s">
        <v>20</v>
      </c>
      <c r="B27" s="2">
        <v>469297</v>
      </c>
      <c r="C27" s="2">
        <v>80142</v>
      </c>
      <c r="D27" s="2">
        <v>14470</v>
      </c>
      <c r="E27" s="2">
        <v>13190</v>
      </c>
      <c r="F27" s="2">
        <v>56065</v>
      </c>
      <c r="H27" s="17">
        <v>83725</v>
      </c>
      <c r="I27" s="2"/>
      <c r="M27" t="s">
        <v>20</v>
      </c>
      <c r="N27" s="4"/>
      <c r="O27" s="2"/>
      <c r="P27" s="2"/>
      <c r="Q27" s="2"/>
      <c r="R27" s="2"/>
    </row>
    <row r="28" spans="1:18" x14ac:dyDescent="0.35">
      <c r="A28" t="s">
        <v>21</v>
      </c>
      <c r="B28" s="2">
        <v>555852</v>
      </c>
      <c r="C28" s="2">
        <v>86555</v>
      </c>
      <c r="D28" s="2">
        <v>13500</v>
      </c>
      <c r="E28" s="2">
        <v>14050</v>
      </c>
      <c r="F28" s="2">
        <v>63359</v>
      </c>
      <c r="H28" s="17">
        <v>90700</v>
      </c>
      <c r="I28" s="2">
        <f>SUM(H25:H28)</f>
        <v>245162</v>
      </c>
      <c r="M28" t="s">
        <v>21</v>
      </c>
      <c r="N28" s="4"/>
      <c r="O28" s="2"/>
      <c r="P28" s="2"/>
      <c r="Q28" s="2"/>
      <c r="R28" s="2">
        <f>SUM(N25:N28)</f>
        <v>0</v>
      </c>
    </row>
    <row r="29" spans="1:18" x14ac:dyDescent="0.35">
      <c r="A29" t="s">
        <v>22</v>
      </c>
      <c r="B29" s="2">
        <v>632952</v>
      </c>
      <c r="C29" s="2">
        <v>77100</v>
      </c>
      <c r="D29" s="2">
        <v>12100</v>
      </c>
      <c r="F29" s="2">
        <v>50900</v>
      </c>
      <c r="H29" s="17">
        <v>63000</v>
      </c>
      <c r="M29" t="s">
        <v>22</v>
      </c>
      <c r="N29" s="4"/>
      <c r="O29" s="2"/>
      <c r="P29" s="2"/>
      <c r="Q29" s="2"/>
    </row>
    <row r="30" spans="1:18" x14ac:dyDescent="0.35">
      <c r="A30" t="s">
        <v>23</v>
      </c>
      <c r="B30" s="2">
        <v>720000</v>
      </c>
      <c r="C30" s="2">
        <v>87048</v>
      </c>
      <c r="D30" s="2">
        <v>17650</v>
      </c>
      <c r="F30" s="2">
        <v>77550</v>
      </c>
      <c r="H30" s="17">
        <v>95200</v>
      </c>
      <c r="M30" t="s">
        <v>23</v>
      </c>
      <c r="N30" s="4"/>
      <c r="O30" s="2"/>
      <c r="P30" s="2"/>
      <c r="Q30" s="2"/>
    </row>
    <row r="31" spans="1:18" x14ac:dyDescent="0.35">
      <c r="A31" t="s">
        <v>24</v>
      </c>
      <c r="B31" s="2">
        <v>816155</v>
      </c>
      <c r="C31" s="2">
        <v>96155</v>
      </c>
      <c r="D31" s="2">
        <v>17483</v>
      </c>
      <c r="F31" s="2">
        <v>79703</v>
      </c>
      <c r="H31" s="17">
        <v>97186</v>
      </c>
      <c r="I31" s="2"/>
      <c r="M31" t="s">
        <v>24</v>
      </c>
      <c r="N31" s="4"/>
      <c r="O31" s="2"/>
      <c r="P31" s="2"/>
      <c r="Q31" s="2"/>
      <c r="R31" s="2"/>
    </row>
    <row r="32" spans="1:18" x14ac:dyDescent="0.35">
      <c r="A32" t="s">
        <v>25</v>
      </c>
      <c r="B32" s="2">
        <v>921046</v>
      </c>
      <c r="C32" s="2">
        <v>104891</v>
      </c>
      <c r="D32" s="2">
        <v>19475</v>
      </c>
      <c r="F32" s="2">
        <v>92620</v>
      </c>
      <c r="H32" s="17">
        <v>112095</v>
      </c>
      <c r="I32" s="2">
        <f>SUM(H29:H32)</f>
        <v>367481</v>
      </c>
      <c r="M32" t="s">
        <v>25</v>
      </c>
      <c r="N32" s="4"/>
      <c r="O32" s="2"/>
      <c r="P32" s="2"/>
      <c r="Q32" s="2"/>
      <c r="R32" s="2">
        <f>SUM(N29:N32)</f>
        <v>0</v>
      </c>
    </row>
    <row r="33" spans="1:25" x14ac:dyDescent="0.35">
      <c r="A33" t="s">
        <v>26</v>
      </c>
      <c r="B33" s="2">
        <v>1023718</v>
      </c>
      <c r="C33" s="2">
        <v>102672</v>
      </c>
      <c r="D33" s="2">
        <v>12230</v>
      </c>
      <c r="F33" s="2">
        <v>76266</v>
      </c>
      <c r="H33" s="17">
        <v>88496</v>
      </c>
      <c r="M33" t="s">
        <v>26</v>
      </c>
      <c r="N33" s="17">
        <f t="shared" ref="N33:N44" si="0">SUM(O33:Q33)</f>
        <v>18000</v>
      </c>
      <c r="O33" s="2">
        <v>5000</v>
      </c>
      <c r="P33" s="2">
        <v>2000</v>
      </c>
      <c r="Q33" s="2">
        <v>11000</v>
      </c>
      <c r="T33" s="3">
        <f>(N33)/H33</f>
        <v>0.20339902368468632</v>
      </c>
    </row>
    <row r="34" spans="1:25" x14ac:dyDescent="0.35">
      <c r="A34" t="s">
        <v>27</v>
      </c>
      <c r="B34" s="2">
        <v>1105990</v>
      </c>
      <c r="C34" s="2">
        <v>82272</v>
      </c>
      <c r="D34" s="2">
        <v>10614</v>
      </c>
      <c r="F34" s="2">
        <v>80277</v>
      </c>
      <c r="H34" s="17">
        <v>90891</v>
      </c>
      <c r="M34" t="s">
        <v>27</v>
      </c>
      <c r="N34" s="17">
        <f t="shared" si="0"/>
        <v>26000</v>
      </c>
      <c r="O34" s="2">
        <v>11000</v>
      </c>
      <c r="P34" s="2">
        <v>8000</v>
      </c>
      <c r="Q34" s="2">
        <v>7000</v>
      </c>
      <c r="T34" s="3">
        <f t="shared" ref="T34:T45" si="1">(N34)/H34</f>
        <v>0.28605692532814031</v>
      </c>
    </row>
    <row r="35" spans="1:25" x14ac:dyDescent="0.35">
      <c r="A35" t="s">
        <v>28</v>
      </c>
      <c r="B35" s="2">
        <v>1251026</v>
      </c>
      <c r="C35" s="2">
        <v>145036</v>
      </c>
      <c r="D35" s="2">
        <v>15275</v>
      </c>
      <c r="F35" s="2">
        <v>124318</v>
      </c>
      <c r="H35" s="17">
        <v>139593</v>
      </c>
      <c r="M35" t="s">
        <v>28</v>
      </c>
      <c r="N35" s="17">
        <f t="shared" si="0"/>
        <v>35000</v>
      </c>
      <c r="O35" s="2">
        <v>11000</v>
      </c>
      <c r="P35" s="2">
        <v>10000</v>
      </c>
      <c r="Q35" s="2">
        <v>14000</v>
      </c>
      <c r="T35" s="3">
        <f t="shared" si="1"/>
        <v>0.25072890474450726</v>
      </c>
    </row>
    <row r="36" spans="1:25" x14ac:dyDescent="0.35">
      <c r="A36" t="s">
        <v>29</v>
      </c>
      <c r="B36" s="2">
        <v>1430783</v>
      </c>
      <c r="C36" s="2">
        <v>179757</v>
      </c>
      <c r="D36" s="2">
        <v>18966</v>
      </c>
      <c r="F36" s="2">
        <v>161701</v>
      </c>
      <c r="H36" s="17">
        <v>180667</v>
      </c>
      <c r="I36" s="2">
        <f>SUM(H33:H36)</f>
        <v>499647</v>
      </c>
      <c r="M36" t="s">
        <v>29</v>
      </c>
      <c r="N36" s="17">
        <f t="shared" si="0"/>
        <v>54000</v>
      </c>
      <c r="O36" s="2">
        <v>16000</v>
      </c>
      <c r="P36" s="2">
        <v>18000</v>
      </c>
      <c r="Q36" s="2">
        <v>20000</v>
      </c>
      <c r="R36" s="2">
        <f>SUM(N33:N36)</f>
        <v>133000</v>
      </c>
      <c r="T36" s="3">
        <f t="shared" si="1"/>
        <v>0.29889243746782757</v>
      </c>
    </row>
    <row r="37" spans="1:25" x14ac:dyDescent="0.35">
      <c r="A37" t="s">
        <v>30</v>
      </c>
      <c r="B37" s="2">
        <v>1611121</v>
      </c>
      <c r="C37" s="2">
        <v>180338</v>
      </c>
      <c r="D37" s="2">
        <v>2030</v>
      </c>
      <c r="F37" s="2">
        <v>182847</v>
      </c>
      <c r="H37" s="17">
        <v>184877</v>
      </c>
      <c r="J37" s="18">
        <f>(H37-H33)/H33</f>
        <v>1.0891000723196529</v>
      </c>
      <c r="M37" t="s">
        <v>30</v>
      </c>
      <c r="N37" s="17">
        <f t="shared" si="0"/>
        <v>42000</v>
      </c>
      <c r="O37" s="2">
        <v>16000</v>
      </c>
      <c r="P37" s="2">
        <v>8000</v>
      </c>
      <c r="Q37" s="2">
        <v>18000</v>
      </c>
      <c r="S37" s="18">
        <f>(N37-N33)/N33</f>
        <v>1.3333333333333333</v>
      </c>
      <c r="T37" s="3">
        <f t="shared" si="1"/>
        <v>0.22717806974366742</v>
      </c>
    </row>
    <row r="38" spans="1:25" x14ac:dyDescent="0.35">
      <c r="A38" t="s">
        <v>31</v>
      </c>
      <c r="B38" s="2">
        <v>1817542</v>
      </c>
      <c r="C38" s="2">
        <v>206421</v>
      </c>
      <c r="D38" s="2">
        <v>1895</v>
      </c>
      <c r="F38" s="2">
        <v>199409</v>
      </c>
      <c r="H38" s="17">
        <v>201304</v>
      </c>
      <c r="J38" s="18">
        <f t="shared" ref="J38:J45" si="2">(H38-H34)/H34</f>
        <v>1.2147847421636906</v>
      </c>
      <c r="M38" t="s">
        <v>31</v>
      </c>
      <c r="N38" s="17">
        <f t="shared" si="0"/>
        <v>57000</v>
      </c>
      <c r="O38" s="2">
        <v>18000</v>
      </c>
      <c r="P38" s="2">
        <v>19000</v>
      </c>
      <c r="Q38" s="2">
        <v>20000</v>
      </c>
      <c r="S38" s="18">
        <f t="shared" ref="S38:S45" si="3">(N38-N34)/N34</f>
        <v>1.1923076923076923</v>
      </c>
      <c r="T38" s="3">
        <f t="shared" si="1"/>
        <v>0.28315383698287167</v>
      </c>
    </row>
    <row r="39" spans="1:25" x14ac:dyDescent="0.35">
      <c r="A39" t="s">
        <v>32</v>
      </c>
      <c r="B39" s="2">
        <v>2055365</v>
      </c>
      <c r="C39" s="2">
        <v>237823</v>
      </c>
      <c r="D39" s="2">
        <v>9289</v>
      </c>
      <c r="F39" s="2">
        <v>232102</v>
      </c>
      <c r="H39" s="17">
        <v>241391</v>
      </c>
      <c r="I39" s="2"/>
      <c r="J39" s="18">
        <f t="shared" si="2"/>
        <v>0.72924860129089564</v>
      </c>
      <c r="M39" t="s">
        <v>32</v>
      </c>
      <c r="N39" s="17">
        <f t="shared" si="0"/>
        <v>91000</v>
      </c>
      <c r="O39" s="2">
        <v>25000</v>
      </c>
      <c r="P39" s="2">
        <v>30000</v>
      </c>
      <c r="Q39" s="2">
        <v>36000</v>
      </c>
      <c r="R39" s="2"/>
      <c r="S39" s="18">
        <f t="shared" si="3"/>
        <v>1.6</v>
      </c>
      <c r="T39" s="3">
        <f t="shared" si="1"/>
        <v>0.37698174331271672</v>
      </c>
    </row>
    <row r="40" spans="1:25" x14ac:dyDescent="0.35">
      <c r="A40" t="s">
        <v>33</v>
      </c>
      <c r="B40" s="2">
        <v>2361205</v>
      </c>
      <c r="C40" s="2">
        <v>305840</v>
      </c>
      <c r="D40" s="2">
        <v>11766</v>
      </c>
      <c r="F40" s="2">
        <v>296884</v>
      </c>
      <c r="H40" s="17">
        <v>308650</v>
      </c>
      <c r="I40" s="2">
        <f>SUM(H37:H40)</f>
        <v>936222</v>
      </c>
      <c r="J40" s="18">
        <f t="shared" si="2"/>
        <v>0.70839168193416613</v>
      </c>
      <c r="M40" t="s">
        <v>33</v>
      </c>
      <c r="N40" s="17">
        <f t="shared" si="0"/>
        <v>135000</v>
      </c>
      <c r="O40" s="2">
        <v>41000</v>
      </c>
      <c r="P40" s="2">
        <v>46000</v>
      </c>
      <c r="Q40" s="2">
        <v>48000</v>
      </c>
      <c r="R40" s="2">
        <f>SUM(N37:N40)</f>
        <v>325000</v>
      </c>
      <c r="S40" s="18">
        <f t="shared" si="3"/>
        <v>1.5</v>
      </c>
      <c r="T40" s="3">
        <f t="shared" si="1"/>
        <v>0.43738862789567473</v>
      </c>
    </row>
    <row r="41" spans="1:25" x14ac:dyDescent="0.35">
      <c r="A41" t="s">
        <v>34</v>
      </c>
      <c r="B41" s="2">
        <v>2666612</v>
      </c>
      <c r="C41" s="2">
        <v>305407</v>
      </c>
      <c r="D41" s="2">
        <v>14724</v>
      </c>
      <c r="F41" s="2">
        <v>295324</v>
      </c>
      <c r="H41" s="17">
        <v>310048</v>
      </c>
      <c r="I41" s="2"/>
      <c r="J41" s="18">
        <f t="shared" si="2"/>
        <v>0.67705014685439513</v>
      </c>
      <c r="M41" t="s">
        <v>34</v>
      </c>
      <c r="N41" s="17">
        <f t="shared" si="0"/>
        <v>142000</v>
      </c>
      <c r="O41" s="2">
        <v>47000</v>
      </c>
      <c r="P41" s="2">
        <v>42000</v>
      </c>
      <c r="Q41" s="2">
        <v>53000</v>
      </c>
      <c r="R41" s="2"/>
      <c r="S41" s="18">
        <f t="shared" si="3"/>
        <v>2.3809523809523809</v>
      </c>
      <c r="T41" s="3">
        <f t="shared" si="1"/>
        <v>0.45799360099081432</v>
      </c>
    </row>
    <row r="42" spans="1:25" x14ac:dyDescent="0.35">
      <c r="A42" t="s">
        <v>35</v>
      </c>
      <c r="B42" s="2">
        <v>2925192</v>
      </c>
      <c r="C42" s="2">
        <v>258580</v>
      </c>
      <c r="D42" s="2">
        <v>16162</v>
      </c>
      <c r="F42" s="2">
        <v>238533</v>
      </c>
      <c r="H42" s="17">
        <v>254695</v>
      </c>
      <c r="J42" s="18">
        <f t="shared" si="2"/>
        <v>0.2652257282517983</v>
      </c>
      <c r="M42" t="s">
        <v>35</v>
      </c>
      <c r="N42" s="17">
        <f t="shared" si="0"/>
        <v>180000</v>
      </c>
      <c r="O42" s="2">
        <v>58000</v>
      </c>
      <c r="P42" s="2">
        <v>52000</v>
      </c>
      <c r="Q42" s="2">
        <v>70000</v>
      </c>
      <c r="S42" s="18">
        <f t="shared" si="3"/>
        <v>2.1578947368421053</v>
      </c>
      <c r="T42" s="3">
        <f t="shared" si="1"/>
        <v>0.70672765464575271</v>
      </c>
    </row>
    <row r="43" spans="1:25" x14ac:dyDescent="0.35">
      <c r="A43" t="s">
        <v>36</v>
      </c>
      <c r="B43" s="2">
        <v>3291115</v>
      </c>
      <c r="C43" s="2">
        <v>365923</v>
      </c>
      <c r="D43" s="2">
        <v>18672</v>
      </c>
      <c r="F43" s="2">
        <v>325158</v>
      </c>
      <c r="H43" s="17">
        <v>343830</v>
      </c>
      <c r="J43" s="18">
        <f t="shared" si="2"/>
        <v>0.42436959124408119</v>
      </c>
      <c r="M43" t="s">
        <v>36</v>
      </c>
      <c r="N43" s="17">
        <f t="shared" si="0"/>
        <v>256000</v>
      </c>
      <c r="O43" s="2">
        <v>80000</v>
      </c>
      <c r="P43" s="2">
        <v>82000</v>
      </c>
      <c r="Q43" s="2">
        <v>94000</v>
      </c>
      <c r="S43" s="18">
        <f t="shared" si="3"/>
        <v>1.8131868131868132</v>
      </c>
      <c r="T43" s="3">
        <f t="shared" si="1"/>
        <v>0.74455399470668648</v>
      </c>
      <c r="Y43" t="s">
        <v>120</v>
      </c>
    </row>
    <row r="44" spans="1:25" x14ac:dyDescent="0.35">
      <c r="A44" t="s">
        <v>99</v>
      </c>
      <c r="H44" s="17">
        <v>405278</v>
      </c>
      <c r="I44" s="2">
        <f>SUM(H41:H44)</f>
        <v>1313851</v>
      </c>
      <c r="J44" s="18">
        <f t="shared" si="2"/>
        <v>0.31306658026891299</v>
      </c>
      <c r="M44" t="s">
        <v>99</v>
      </c>
      <c r="N44" s="17">
        <f t="shared" si="0"/>
        <v>332000</v>
      </c>
      <c r="O44" s="2">
        <v>103000</v>
      </c>
      <c r="P44" s="2">
        <v>115000</v>
      </c>
      <c r="Q44" s="2">
        <v>114000</v>
      </c>
      <c r="R44" s="2">
        <f>SUM(N41:N44)</f>
        <v>910000</v>
      </c>
      <c r="S44" s="18">
        <f t="shared" si="3"/>
        <v>1.4592592592592593</v>
      </c>
      <c r="T44" s="3">
        <f t="shared" si="1"/>
        <v>0.81919077768840154</v>
      </c>
    </row>
    <row r="45" spans="1:25" x14ac:dyDescent="0.35">
      <c r="A45" t="s">
        <v>98</v>
      </c>
      <c r="H45" s="17">
        <v>422875</v>
      </c>
      <c r="J45" s="18">
        <f t="shared" si="2"/>
        <v>0.36390171844359581</v>
      </c>
      <c r="M45" t="s">
        <v>98</v>
      </c>
      <c r="N45" s="17">
        <f>SUM(O45:Q45)</f>
        <v>265000</v>
      </c>
      <c r="O45" s="2">
        <v>71000</v>
      </c>
      <c r="P45" s="2">
        <v>91000</v>
      </c>
      <c r="Q45" s="2">
        <v>103000</v>
      </c>
      <c r="S45" s="18">
        <f t="shared" si="3"/>
        <v>0.86619718309859151</v>
      </c>
      <c r="T45" s="3">
        <f t="shared" si="1"/>
        <v>0.62666272539166423</v>
      </c>
    </row>
    <row r="46" spans="1:25" x14ac:dyDescent="0.35">
      <c r="A46" t="s">
        <v>96</v>
      </c>
      <c r="H46" s="17">
        <v>466140</v>
      </c>
      <c r="J46" s="18">
        <f>(H46-H42)/H42</f>
        <v>0.83018904964761775</v>
      </c>
      <c r="M46" t="s">
        <v>96</v>
      </c>
      <c r="N46" s="17">
        <f>SUM(O46:Q46)</f>
        <v>352000</v>
      </c>
      <c r="O46" s="2">
        <v>104000</v>
      </c>
      <c r="P46" s="2">
        <v>120000</v>
      </c>
      <c r="Q46" s="2">
        <v>128000</v>
      </c>
      <c r="S46" s="18">
        <f>(N46-N42)/N42</f>
        <v>0.9555555555555556</v>
      </c>
      <c r="T46" s="3">
        <f>(N46)/H46</f>
        <v>0.75513794139099844</v>
      </c>
    </row>
    <row r="47" spans="1:25" x14ac:dyDescent="0.35">
      <c r="A47" s="67" t="s">
        <v>97</v>
      </c>
      <c r="B47" s="67" t="s">
        <v>142</v>
      </c>
      <c r="C47" s="67"/>
      <c r="D47" s="67"/>
      <c r="E47" s="67"/>
      <c r="F47" s="67"/>
      <c r="G47" s="67"/>
      <c r="H47" s="68">
        <v>500000</v>
      </c>
      <c r="I47" s="67"/>
      <c r="J47" s="69">
        <f t="shared" ref="J47:J48" si="4">(H47-H43)/H43</f>
        <v>0.45420702091149695</v>
      </c>
      <c r="K47" s="67"/>
      <c r="L47" s="67"/>
      <c r="M47" s="67" t="s">
        <v>97</v>
      </c>
      <c r="N47" s="68">
        <v>430000</v>
      </c>
      <c r="O47" s="33"/>
      <c r="P47" s="33"/>
      <c r="Q47" s="33"/>
      <c r="R47" s="67"/>
      <c r="S47" s="69">
        <f t="shared" ref="S47:S48" si="5">(N47-N43)/N43</f>
        <v>0.6796875</v>
      </c>
      <c r="T47" s="34">
        <f t="shared" ref="T47:T48" si="6">(N47)/H47</f>
        <v>0.86</v>
      </c>
    </row>
    <row r="48" spans="1:25" x14ac:dyDescent="0.35">
      <c r="A48" s="67" t="s">
        <v>107</v>
      </c>
      <c r="B48" s="67" t="s">
        <v>142</v>
      </c>
      <c r="C48" s="67"/>
      <c r="D48" s="67"/>
      <c r="E48" s="67"/>
      <c r="F48" s="67"/>
      <c r="G48" s="67"/>
      <c r="H48" s="68">
        <v>550000</v>
      </c>
      <c r="I48" s="33">
        <f>SUM(H45:H48)</f>
        <v>1939015</v>
      </c>
      <c r="J48" s="69">
        <f t="shared" si="4"/>
        <v>0.35709315580909895</v>
      </c>
      <c r="K48" s="67"/>
      <c r="L48" s="67"/>
      <c r="M48" s="67" t="s">
        <v>107</v>
      </c>
      <c r="N48" s="68">
        <v>550000</v>
      </c>
      <c r="O48" s="33"/>
      <c r="P48" s="33"/>
      <c r="Q48" s="33"/>
      <c r="R48" s="33">
        <f>SUM(N45:N48)</f>
        <v>1597000</v>
      </c>
      <c r="S48" s="69">
        <f t="shared" si="5"/>
        <v>0.65662650602409633</v>
      </c>
      <c r="T48" s="34">
        <f t="shared" si="6"/>
        <v>1</v>
      </c>
    </row>
    <row r="49" spans="8:19" x14ac:dyDescent="0.35">
      <c r="N49" s="2"/>
      <c r="O49" s="2"/>
      <c r="P49" s="2"/>
      <c r="Q49" s="2"/>
    </row>
    <row r="50" spans="8:19" x14ac:dyDescent="0.35">
      <c r="H50" t="s">
        <v>145</v>
      </c>
      <c r="N50" s="2"/>
      <c r="O50" s="2"/>
      <c r="P50" s="2"/>
      <c r="Q50" s="2"/>
      <c r="R50" t="s">
        <v>143</v>
      </c>
    </row>
    <row r="51" spans="8:19" x14ac:dyDescent="0.35">
      <c r="N51" s="2"/>
      <c r="O51" s="2"/>
      <c r="P51" s="2"/>
      <c r="Q51" s="2"/>
      <c r="R51" t="s">
        <v>144</v>
      </c>
      <c r="S51" s="16" t="s">
        <v>103</v>
      </c>
    </row>
    <row r="52" spans="8:19" x14ac:dyDescent="0.35">
      <c r="N52" s="2"/>
    </row>
    <row r="53" spans="8:19" x14ac:dyDescent="0.35">
      <c r="N53" s="2"/>
    </row>
    <row r="54" spans="8:19" x14ac:dyDescent="0.35">
      <c r="N54" s="2"/>
    </row>
    <row r="55" spans="8:19" x14ac:dyDescent="0.35">
      <c r="N55" s="2"/>
    </row>
    <row r="56" spans="8:19" x14ac:dyDescent="0.35">
      <c r="N56" s="2"/>
    </row>
    <row r="57" spans="8:19" x14ac:dyDescent="0.35">
      <c r="N57" s="2"/>
    </row>
    <row r="58" spans="8:19" x14ac:dyDescent="0.35">
      <c r="N58" s="2"/>
    </row>
    <row r="59" spans="8:19" x14ac:dyDescent="0.35">
      <c r="N59" s="2"/>
    </row>
  </sheetData>
  <phoneticPr fontId="5" type="noConversion"/>
  <hyperlinks>
    <hyperlink ref="A11" r:id="rId1" location="Timeline_of_production_and_sales" xr:uid="{3D5D765C-15AD-4EB0-927F-574C96974609}"/>
    <hyperlink ref="M11" r:id="rId2" xr:uid="{CCA9CB07-45CC-42CC-AE2E-867A2052D3F3}"/>
    <hyperlink ref="S51" r:id="rId3" xr:uid="{BC80CEB8-B05A-4EE5-9B04-BD7864F4BB49}"/>
  </hyperlinks>
  <pageMargins left="0.7" right="0.7" top="0.75" bottom="0.75" header="0.3" footer="0.3"/>
  <pageSetup orientation="portrait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5CF6F-745B-4E5B-B142-A201926DF3D2}">
  <dimension ref="A1:F26"/>
  <sheetViews>
    <sheetView tabSelected="1" workbookViewId="0">
      <selection activeCell="D7" sqref="D7:F15"/>
    </sheetView>
  </sheetViews>
  <sheetFormatPr defaultRowHeight="14.5" x14ac:dyDescent="0.35"/>
  <cols>
    <col min="4" max="5" width="25.453125" customWidth="1"/>
    <col min="6" max="6" width="22.08984375" customWidth="1"/>
  </cols>
  <sheetData>
    <row r="1" spans="1:6" ht="28.5" x14ac:dyDescent="0.65">
      <c r="A1" s="19" t="str">
        <f>BEVgrowth!A1</f>
        <v>Tesla and BYD’s epic battle for BEV supremacy. Who is winning? #30</v>
      </c>
    </row>
    <row r="3" spans="1:6" ht="15.5" x14ac:dyDescent="0.35">
      <c r="A3" s="20" t="str">
        <f>BEVgrowth!A3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6" ht="15.5" x14ac:dyDescent="0.35">
      <c r="A4" s="20" t="str">
        <f>BEVgrowth!A4</f>
        <v>Sources to all information used in this spreadsheet can also be found in associated PowerPoint presentation located also at www.hmexperience.dk</v>
      </c>
    </row>
    <row r="7" spans="1:6" ht="21.5" thickBot="1" x14ac:dyDescent="0.55000000000000004">
      <c r="D7" s="57" t="s">
        <v>161</v>
      </c>
      <c r="E7" s="58"/>
      <c r="F7" s="58"/>
    </row>
    <row r="8" spans="1:6" ht="15" thickTop="1" x14ac:dyDescent="0.35">
      <c r="D8" s="51" t="s">
        <v>126</v>
      </c>
      <c r="E8" s="52" t="s">
        <v>78</v>
      </c>
      <c r="F8" s="53" t="s">
        <v>127</v>
      </c>
    </row>
    <row r="9" spans="1:6" x14ac:dyDescent="0.35">
      <c r="D9" s="29" t="s">
        <v>121</v>
      </c>
      <c r="E9" s="2">
        <v>1314330</v>
      </c>
      <c r="F9" s="31">
        <f>E9/E$14</f>
        <v>0.16850384615384614</v>
      </c>
    </row>
    <row r="10" spans="1:6" x14ac:dyDescent="0.35">
      <c r="D10" s="29" t="s">
        <v>122</v>
      </c>
      <c r="E10" s="2">
        <v>913052</v>
      </c>
      <c r="F10" s="31">
        <f t="shared" ref="F10:F13" si="0">E10/E$14</f>
        <v>0.11705794871794872</v>
      </c>
    </row>
    <row r="11" spans="1:6" x14ac:dyDescent="0.35">
      <c r="D11" s="29" t="s">
        <v>123</v>
      </c>
      <c r="E11" s="2">
        <v>671725</v>
      </c>
      <c r="F11" s="31">
        <f t="shared" si="0"/>
        <v>8.6118589743589741E-2</v>
      </c>
    </row>
    <row r="12" spans="1:6" x14ac:dyDescent="0.35">
      <c r="D12" s="29" t="s">
        <v>124</v>
      </c>
      <c r="E12" s="2">
        <v>571067</v>
      </c>
      <c r="F12" s="31">
        <f t="shared" si="0"/>
        <v>7.3213717948717949E-2</v>
      </c>
    </row>
    <row r="13" spans="1:6" x14ac:dyDescent="0.35">
      <c r="D13" s="29" t="s">
        <v>125</v>
      </c>
      <c r="E13" s="2">
        <v>383936</v>
      </c>
      <c r="F13" s="31">
        <f t="shared" si="0"/>
        <v>4.9222564102564099E-2</v>
      </c>
    </row>
    <row r="14" spans="1:6" ht="15" thickBot="1" x14ac:dyDescent="0.4">
      <c r="D14" s="54" t="s">
        <v>128</v>
      </c>
      <c r="E14" s="55">
        <f>BEVgrowth!F18</f>
        <v>7800000</v>
      </c>
      <c r="F14" s="56">
        <v>1</v>
      </c>
    </row>
    <row r="15" spans="1:6" ht="15" thickTop="1" x14ac:dyDescent="0.35">
      <c r="D15" s="22" t="s">
        <v>119</v>
      </c>
      <c r="E15" s="58"/>
      <c r="F15" s="58"/>
    </row>
    <row r="19" spans="4:6" ht="21" x14ac:dyDescent="0.5">
      <c r="D19" s="1" t="s">
        <v>95</v>
      </c>
    </row>
    <row r="20" spans="4:6" x14ac:dyDescent="0.35">
      <c r="D20" s="46" t="s">
        <v>126</v>
      </c>
      <c r="E20" s="47" t="s">
        <v>78</v>
      </c>
      <c r="F20" s="47" t="s">
        <v>127</v>
      </c>
    </row>
    <row r="21" spans="4:6" x14ac:dyDescent="0.35">
      <c r="D21" s="4" t="s">
        <v>121</v>
      </c>
      <c r="E21" s="50" t="s">
        <v>131</v>
      </c>
      <c r="F21" s="3" t="s">
        <v>93</v>
      </c>
    </row>
    <row r="22" spans="4:6" x14ac:dyDescent="0.35">
      <c r="D22" s="4" t="s">
        <v>122</v>
      </c>
      <c r="E22" s="50" t="s">
        <v>131</v>
      </c>
      <c r="F22" s="3" t="s">
        <v>93</v>
      </c>
    </row>
    <row r="23" spans="4:6" x14ac:dyDescent="0.35">
      <c r="D23" s="4" t="s">
        <v>123</v>
      </c>
      <c r="E23" s="50" t="s">
        <v>131</v>
      </c>
      <c r="F23" s="3" t="s">
        <v>93</v>
      </c>
    </row>
    <row r="24" spans="4:6" x14ac:dyDescent="0.35">
      <c r="D24" s="4" t="s">
        <v>124</v>
      </c>
      <c r="E24" s="50" t="s">
        <v>131</v>
      </c>
      <c r="F24" s="3" t="s">
        <v>93</v>
      </c>
    </row>
    <row r="25" spans="4:6" x14ac:dyDescent="0.35">
      <c r="D25" s="4" t="s">
        <v>125</v>
      </c>
      <c r="E25" s="50" t="s">
        <v>131</v>
      </c>
      <c r="F25" s="3" t="s">
        <v>93</v>
      </c>
    </row>
    <row r="26" spans="4:6" x14ac:dyDescent="0.35">
      <c r="D26" s="21" t="s">
        <v>128</v>
      </c>
      <c r="E26" s="49" t="s">
        <v>129</v>
      </c>
      <c r="F26" s="48" t="s">
        <v>93</v>
      </c>
    </row>
  </sheetData>
  <hyperlinks>
    <hyperlink ref="E26" r:id="rId1" xr:uid="{6AD3B2B2-44F5-4AA7-8E12-D3F327A4FC72}"/>
    <hyperlink ref="E21" r:id="rId2" xr:uid="{0CCC783D-0C6E-4993-8ED0-4514D4C96966}"/>
    <hyperlink ref="E22:E25" r:id="rId3" display="https://cleantechnica.com/2023/02/07/tesla-1-in-world-bev-sales-by-big-margin-2022-world-ev-sales-report/" xr:uid="{DC777B8E-E35F-4AAD-AE41-B1BEE1AB13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BEVgrowth</vt:lpstr>
      <vt:lpstr>BEVvalue</vt:lpstr>
      <vt:lpstr>TeslaBYDsales</vt:lpstr>
      <vt:lpstr>Top5GlobalBEVsellers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2023-07-10T10:30:01Z</dcterms:modified>
</cp:coreProperties>
</file>