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5736556D-9C92-4DD5-822F-4F66AF2DEF49}" xr6:coauthVersionLast="47" xr6:coauthVersionMax="47" xr10:uidLastSave="{00000000-0000-0000-0000-000000000000}"/>
  <bookViews>
    <workbookView xWindow="-36040" yWindow="1990" windowWidth="33060" windowHeight="17690" tabRatio="751" activeTab="3" xr2:uid="{00000000-000D-0000-FFFF-FFFF00000000}"/>
  </bookViews>
  <sheets>
    <sheet name="CostOfRawMaterialsBEV" sheetId="2" r:id="rId1"/>
    <sheet name="RawMaterialsBEV" sheetId="1" r:id="rId2"/>
    <sheet name="RawMaterial" sheetId="6" r:id="rId3"/>
    <sheet name="RM_ByBatChem" sheetId="11" r:id="rId4"/>
    <sheet name="Cu" sheetId="3" r:id="rId5"/>
    <sheet name="GrowthLi" sheetId="4" r:id="rId6"/>
    <sheet name="Li" sheetId="5" r:id="rId7"/>
    <sheet name="Ni" sheetId="8" r:id="rId8"/>
    <sheet name="Co" sheetId="12" r:id="rId9"/>
    <sheet name="Mg" sheetId="10" r:id="rId10"/>
    <sheet name="Mn" sheetId="14" r:id="rId11"/>
    <sheet name="Graphite" sheetId="16" r:id="rId12"/>
    <sheet name="Recycling" sheetId="13" r:id="rId13"/>
    <sheet name="MiningReserves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5" l="1"/>
  <c r="H38" i="5"/>
  <c r="G38" i="5"/>
  <c r="F38" i="5"/>
  <c r="E38" i="5"/>
  <c r="D38" i="5"/>
  <c r="H37" i="5"/>
  <c r="E36" i="5"/>
  <c r="F37" i="5"/>
  <c r="D37" i="5"/>
  <c r="AH25" i="15"/>
  <c r="AH24" i="15"/>
  <c r="AH23" i="15"/>
  <c r="AH21" i="15"/>
  <c r="AH20" i="15"/>
  <c r="AH19" i="15"/>
  <c r="AH18" i="15"/>
  <c r="AH17" i="15"/>
  <c r="W16" i="15"/>
  <c r="U17" i="15"/>
  <c r="U22" i="15"/>
  <c r="X28" i="15"/>
  <c r="Y28" i="15"/>
  <c r="Z28" i="15"/>
  <c r="AA28" i="15"/>
  <c r="AB28" i="15"/>
  <c r="X29" i="15"/>
  <c r="Y29" i="15"/>
  <c r="Z29" i="15"/>
  <c r="AA29" i="15"/>
  <c r="AB29" i="15"/>
  <c r="AY14" i="15"/>
  <c r="H10" i="1"/>
  <c r="BB14" i="15"/>
  <c r="AG35" i="11"/>
  <c r="AG34" i="11"/>
  <c r="AF19" i="11"/>
  <c r="AF18" i="11"/>
  <c r="AG21" i="11"/>
  <c r="AG22" i="11"/>
  <c r="AG23" i="11"/>
  <c r="AG24" i="11"/>
  <c r="AG25" i="11"/>
  <c r="AG26" i="11"/>
  <c r="AG27" i="11"/>
  <c r="AG30" i="11" s="1"/>
  <c r="AG28" i="11"/>
  <c r="AG29" i="11"/>
  <c r="AG20" i="11"/>
  <c r="AW15" i="15" l="1"/>
  <c r="AP18" i="15"/>
  <c r="O12" i="14"/>
  <c r="AK41" i="11"/>
  <c r="G35" i="6"/>
  <c r="G36" i="6"/>
  <c r="F35" i="6"/>
  <c r="H35" i="6"/>
  <c r="G34" i="6"/>
  <c r="F34" i="6"/>
  <c r="AQ16" i="15"/>
  <c r="AQ17" i="15"/>
  <c r="AQ15" i="15"/>
  <c r="AQ14" i="15"/>
  <c r="D16" i="2"/>
  <c r="AH34" i="11"/>
  <c r="AI34" i="11" s="1"/>
  <c r="AJ34" i="11" s="1"/>
  <c r="AK34" i="11" s="1"/>
  <c r="AL34" i="11" s="1"/>
  <c r="AM34" i="11" s="1"/>
  <c r="AE18" i="11"/>
  <c r="F51" i="1"/>
  <c r="AF39" i="11"/>
  <c r="D51" i="1"/>
  <c r="J10" i="2"/>
  <c r="AL34" i="15"/>
  <c r="AJ34" i="15"/>
  <c r="AJ36" i="15" s="1"/>
  <c r="AF43" i="15" s="1"/>
  <c r="AF25" i="15"/>
  <c r="AF17" i="15"/>
  <c r="AA34" i="15"/>
  <c r="U28" i="15" s="1"/>
  <c r="Y34" i="15"/>
  <c r="Y36" i="15" s="1"/>
  <c r="U44" i="15" s="1"/>
  <c r="X44" i="15" s="1"/>
  <c r="X17" i="15" s="1"/>
  <c r="AK28" i="15"/>
  <c r="AI29" i="15"/>
  <c r="AJ29" i="15"/>
  <c r="AL29" i="15"/>
  <c r="AC29" i="15"/>
  <c r="AN29" i="15" s="1"/>
  <c r="O32" i="15"/>
  <c r="D15" i="2"/>
  <c r="D26" i="11" s="1"/>
  <c r="N55" i="15"/>
  <c r="O54" i="15"/>
  <c r="K54" i="15"/>
  <c r="U21" i="15" s="1"/>
  <c r="H54" i="15"/>
  <c r="AF21" i="15" s="1"/>
  <c r="F34" i="16"/>
  <c r="G34" i="16" s="1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5" i="16"/>
  <c r="F36" i="16"/>
  <c r="G36" i="16" s="1"/>
  <c r="D36" i="16"/>
  <c r="G16" i="16"/>
  <c r="D35" i="16"/>
  <c r="E16" i="16" s="1"/>
  <c r="A4" i="16"/>
  <c r="A3" i="16"/>
  <c r="A1" i="16"/>
  <c r="AF25" i="11"/>
  <c r="AF26" i="11"/>
  <c r="K37" i="11"/>
  <c r="D13" i="2"/>
  <c r="H39" i="2" s="1"/>
  <c r="D14" i="2" s="1"/>
  <c r="F17" i="6" s="1"/>
  <c r="AJ6" i="11"/>
  <c r="AM42" i="11"/>
  <c r="AM43" i="11" s="1"/>
  <c r="AM40" i="11"/>
  <c r="AC28" i="15" s="1"/>
  <c r="AN28" i="15" s="1"/>
  <c r="AK42" i="11"/>
  <c r="AK43" i="11" s="1"/>
  <c r="AK40" i="11"/>
  <c r="AL28" i="15" s="1"/>
  <c r="AJ42" i="11"/>
  <c r="AJ43" i="11" s="1"/>
  <c r="AJ40" i="11"/>
  <c r="AJ41" i="11" s="1"/>
  <c r="X39" i="11"/>
  <c r="AL42" i="11" s="1"/>
  <c r="AL43" i="11" s="1"/>
  <c r="S31" i="11"/>
  <c r="N24" i="11"/>
  <c r="N42" i="11" s="1"/>
  <c r="H24" i="11"/>
  <c r="H42" i="11" s="1"/>
  <c r="E24" i="11"/>
  <c r="E42" i="11" s="1"/>
  <c r="X19" i="11"/>
  <c r="X20" i="11"/>
  <c r="X21" i="11"/>
  <c r="X18" i="11"/>
  <c r="Z31" i="11"/>
  <c r="P31" i="11"/>
  <c r="M31" i="11"/>
  <c r="J31" i="11"/>
  <c r="G31" i="11"/>
  <c r="D35" i="11"/>
  <c r="J35" i="11" s="1"/>
  <c r="D34" i="11"/>
  <c r="G34" i="11" s="1"/>
  <c r="D33" i="11"/>
  <c r="G33" i="11" s="1"/>
  <c r="D32" i="11"/>
  <c r="G32" i="11" s="1"/>
  <c r="D30" i="11"/>
  <c r="G30" i="11" s="1"/>
  <c r="D28" i="11"/>
  <c r="G28" i="11" s="1"/>
  <c r="D27" i="11"/>
  <c r="G27" i="11" s="1"/>
  <c r="Q24" i="11"/>
  <c r="Q42" i="11" s="1"/>
  <c r="K24" i="11"/>
  <c r="K42" i="11" s="1"/>
  <c r="I31" i="1"/>
  <c r="Q33" i="15"/>
  <c r="Q26" i="15"/>
  <c r="Q22" i="15"/>
  <c r="Q29" i="15"/>
  <c r="P35" i="15"/>
  <c r="AB85" i="15"/>
  <c r="N41" i="15" s="1"/>
  <c r="P41" i="15" s="1"/>
  <c r="O41" i="15"/>
  <c r="O42" i="15"/>
  <c r="Y86" i="15"/>
  <c r="N42" i="15" s="1"/>
  <c r="P42" i="15" s="1"/>
  <c r="O58" i="15"/>
  <c r="O57" i="15"/>
  <c r="O56" i="15"/>
  <c r="N57" i="15"/>
  <c r="C36" i="6"/>
  <c r="I110" i="15"/>
  <c r="H58" i="15"/>
  <c r="H57" i="15"/>
  <c r="K58" i="15"/>
  <c r="K57" i="15"/>
  <c r="K56" i="15"/>
  <c r="D19" i="2"/>
  <c r="O47" i="15"/>
  <c r="N47" i="15"/>
  <c r="L47" i="15"/>
  <c r="K47" i="15"/>
  <c r="P46" i="15"/>
  <c r="O52" i="15"/>
  <c r="O50" i="15"/>
  <c r="N50" i="15"/>
  <c r="J50" i="15"/>
  <c r="J53" i="15"/>
  <c r="J52" i="15" s="1"/>
  <c r="H53" i="15"/>
  <c r="G22" i="10"/>
  <c r="G21" i="10"/>
  <c r="G20" i="10"/>
  <c r="G19" i="10"/>
  <c r="G18" i="10"/>
  <c r="G17" i="10"/>
  <c r="G16" i="10"/>
  <c r="G15" i="10"/>
  <c r="G14" i="10"/>
  <c r="G13" i="10"/>
  <c r="F27" i="10"/>
  <c r="G27" i="10" s="1"/>
  <c r="L53" i="15"/>
  <c r="L52" i="15"/>
  <c r="K50" i="15"/>
  <c r="O45" i="15"/>
  <c r="N45" i="15"/>
  <c r="O44" i="15"/>
  <c r="K44" i="15"/>
  <c r="J45" i="15"/>
  <c r="H44" i="15"/>
  <c r="AF23" i="15" s="1"/>
  <c r="K33" i="6"/>
  <c r="D20" i="2"/>
  <c r="O33" i="15"/>
  <c r="N33" i="15"/>
  <c r="L33" i="15"/>
  <c r="K33" i="15"/>
  <c r="H33" i="15"/>
  <c r="AF18" i="15" s="1"/>
  <c r="J30" i="15"/>
  <c r="O30" i="15"/>
  <c r="O29" i="15" s="1"/>
  <c r="G12" i="1"/>
  <c r="F12" i="1"/>
  <c r="M12" i="1" s="1"/>
  <c r="L29" i="15"/>
  <c r="L30" i="15" s="1"/>
  <c r="K29" i="15"/>
  <c r="P28" i="15"/>
  <c r="O25" i="15"/>
  <c r="O24" i="15"/>
  <c r="O20" i="15"/>
  <c r="O17" i="15"/>
  <c r="N25" i="15"/>
  <c r="K25" i="15"/>
  <c r="L25" i="15"/>
  <c r="L17" i="15"/>
  <c r="L24" i="15"/>
  <c r="K24" i="15"/>
  <c r="L22" i="15"/>
  <c r="K22" i="15"/>
  <c r="P22" i="15" s="1"/>
  <c r="N20" i="15"/>
  <c r="P10" i="15"/>
  <c r="N21" i="15" s="1"/>
  <c r="L20" i="15"/>
  <c r="K20" i="15"/>
  <c r="P8" i="15"/>
  <c r="P9" i="15" s="1"/>
  <c r="N23" i="15" s="1"/>
  <c r="P23" i="15" s="1"/>
  <c r="C60" i="15"/>
  <c r="C8" i="15"/>
  <c r="F30" i="15" s="1"/>
  <c r="G16" i="15"/>
  <c r="F16" i="15"/>
  <c r="F49" i="15"/>
  <c r="G22" i="15" s="1"/>
  <c r="E49" i="15"/>
  <c r="D46" i="15"/>
  <c r="D47" i="15"/>
  <c r="D44" i="15"/>
  <c r="E22" i="15"/>
  <c r="E24" i="15"/>
  <c r="E25" i="15"/>
  <c r="E27" i="15"/>
  <c r="E28" i="15"/>
  <c r="E29" i="15"/>
  <c r="E33" i="15"/>
  <c r="E35" i="15"/>
  <c r="E36" i="15"/>
  <c r="E37" i="15"/>
  <c r="E38" i="15"/>
  <c r="E39" i="15"/>
  <c r="E40" i="15"/>
  <c r="E41" i="15"/>
  <c r="E42" i="15"/>
  <c r="E43" i="15"/>
  <c r="E20" i="15"/>
  <c r="E17" i="15"/>
  <c r="A4" i="15"/>
  <c r="A3" i="15"/>
  <c r="A1" i="15"/>
  <c r="U18" i="13"/>
  <c r="U17" i="13"/>
  <c r="U16" i="13"/>
  <c r="U15" i="13"/>
  <c r="U14" i="13"/>
  <c r="U13" i="13"/>
  <c r="L7" i="2"/>
  <c r="L8" i="2"/>
  <c r="M8" i="2"/>
  <c r="N8" i="2"/>
  <c r="O8" i="2"/>
  <c r="P8" i="2"/>
  <c r="M9" i="2"/>
  <c r="N9" i="2"/>
  <c r="O9" i="2"/>
  <c r="P9" i="2"/>
  <c r="P10" i="2"/>
  <c r="P11" i="2"/>
  <c r="P12" i="2"/>
  <c r="P14" i="2"/>
  <c r="P15" i="2"/>
  <c r="P16" i="2"/>
  <c r="P17" i="2"/>
  <c r="N18" i="2"/>
  <c r="P18" i="2"/>
  <c r="P19" i="2"/>
  <c r="P20" i="2"/>
  <c r="P21" i="2"/>
  <c r="L22" i="2"/>
  <c r="N22" i="2"/>
  <c r="P22" i="2"/>
  <c r="L23" i="2"/>
  <c r="N23" i="2"/>
  <c r="L24" i="2"/>
  <c r="B57" i="11"/>
  <c r="B33" i="2"/>
  <c r="D10" i="2"/>
  <c r="F11" i="6" s="1"/>
  <c r="AB32" i="11"/>
  <c r="AB25" i="11"/>
  <c r="B51" i="11"/>
  <c r="A4" i="14"/>
  <c r="A3" i="14"/>
  <c r="A1" i="14"/>
  <c r="I27" i="14"/>
  <c r="F15" i="1" s="1"/>
  <c r="C21" i="6" s="1"/>
  <c r="K22" i="6" s="1"/>
  <c r="K27" i="14"/>
  <c r="L11" i="14" s="1"/>
  <c r="F23" i="14"/>
  <c r="E23" i="14"/>
  <c r="W14" i="13"/>
  <c r="G13" i="13"/>
  <c r="A4" i="13"/>
  <c r="A3" i="13"/>
  <c r="A1" i="13"/>
  <c r="F25" i="12"/>
  <c r="G25" i="12" s="1"/>
  <c r="D25" i="12"/>
  <c r="E25" i="12" s="1"/>
  <c r="F24" i="12"/>
  <c r="G13" i="12" s="1"/>
  <c r="D23" i="12"/>
  <c r="E23" i="12" s="1"/>
  <c r="E24" i="12"/>
  <c r="L18" i="12"/>
  <c r="A4" i="12"/>
  <c r="A3" i="12"/>
  <c r="A1" i="12"/>
  <c r="F14" i="2"/>
  <c r="G17" i="6" s="1"/>
  <c r="W38" i="11"/>
  <c r="X38" i="11" s="1"/>
  <c r="AL40" i="11" s="1"/>
  <c r="AM28" i="15" s="1"/>
  <c r="A1" i="4"/>
  <c r="A3" i="4"/>
  <c r="A4" i="4"/>
  <c r="A1" i="10"/>
  <c r="A3" i="10"/>
  <c r="A4" i="10"/>
  <c r="A1" i="11"/>
  <c r="A3" i="11"/>
  <c r="A4" i="11"/>
  <c r="F63" i="1"/>
  <c r="F75" i="1" s="1"/>
  <c r="C18" i="1" s="1"/>
  <c r="D18" i="1" s="1"/>
  <c r="V15" i="6"/>
  <c r="D15" i="1"/>
  <c r="G25" i="6"/>
  <c r="F25" i="6"/>
  <c r="D12" i="2"/>
  <c r="F14" i="6" s="1"/>
  <c r="C19" i="2"/>
  <c r="M17" i="2" s="1"/>
  <c r="D25" i="6"/>
  <c r="D26" i="6" s="1"/>
  <c r="D23" i="6"/>
  <c r="D24" i="6" s="1"/>
  <c r="C25" i="6"/>
  <c r="M17" i="1"/>
  <c r="K17" i="1"/>
  <c r="N17" i="1"/>
  <c r="D17" i="1"/>
  <c r="E17" i="1" s="1"/>
  <c r="B36" i="1"/>
  <c r="G23" i="6"/>
  <c r="D18" i="2"/>
  <c r="F23" i="6" s="1"/>
  <c r="C18" i="2"/>
  <c r="M16" i="2" s="1"/>
  <c r="K16" i="1"/>
  <c r="N16" i="1"/>
  <c r="D16" i="1"/>
  <c r="E16" i="1" s="1"/>
  <c r="B35" i="1"/>
  <c r="B40" i="2" s="1"/>
  <c r="M23" i="10"/>
  <c r="N23" i="10" s="1"/>
  <c r="D27" i="10"/>
  <c r="E27" i="10" s="1"/>
  <c r="F27" i="6"/>
  <c r="B58" i="6"/>
  <c r="L16" i="8"/>
  <c r="D18" i="8"/>
  <c r="F36" i="5"/>
  <c r="G34" i="5" s="1"/>
  <c r="D36" i="5"/>
  <c r="E16" i="5" s="1"/>
  <c r="F19" i="8"/>
  <c r="G12" i="8" s="1"/>
  <c r="E10" i="8"/>
  <c r="A4" i="8"/>
  <c r="A3" i="8"/>
  <c r="A1" i="8"/>
  <c r="B50" i="6"/>
  <c r="P51" i="6"/>
  <c r="P54" i="6" s="1"/>
  <c r="P58" i="6" s="1"/>
  <c r="P60" i="6" s="1"/>
  <c r="F36" i="6" s="1"/>
  <c r="N58" i="15" s="1"/>
  <c r="S42" i="6"/>
  <c r="B66" i="6"/>
  <c r="H34" i="6"/>
  <c r="B65" i="6"/>
  <c r="B64" i="6"/>
  <c r="B61" i="6"/>
  <c r="B54" i="6"/>
  <c r="B47" i="6"/>
  <c r="B32" i="1"/>
  <c r="B36" i="2" s="1"/>
  <c r="B52" i="6"/>
  <c r="F43" i="6"/>
  <c r="C43" i="6"/>
  <c r="D43" i="6"/>
  <c r="C45" i="6"/>
  <c r="C48" i="6"/>
  <c r="C49" i="6"/>
  <c r="C62" i="6"/>
  <c r="B41" i="6"/>
  <c r="B43" i="6"/>
  <c r="B62" i="6"/>
  <c r="G9" i="6"/>
  <c r="G10" i="6"/>
  <c r="G11" i="6"/>
  <c r="G14" i="6"/>
  <c r="G16" i="6"/>
  <c r="G19" i="6"/>
  <c r="G21" i="6"/>
  <c r="G27" i="6"/>
  <c r="G29" i="6"/>
  <c r="G30" i="6"/>
  <c r="G32" i="6"/>
  <c r="D9" i="6"/>
  <c r="D10" i="6"/>
  <c r="D11" i="6"/>
  <c r="D13" i="6" s="1"/>
  <c r="D14" i="6"/>
  <c r="D15" i="6" s="1"/>
  <c r="D16" i="6"/>
  <c r="D17" i="6"/>
  <c r="D18" i="6" s="1"/>
  <c r="D19" i="6"/>
  <c r="D20" i="6" s="1"/>
  <c r="D21" i="6"/>
  <c r="D27" i="6"/>
  <c r="D29" i="6"/>
  <c r="D30" i="6"/>
  <c r="D32" i="6"/>
  <c r="L44" i="15" s="1"/>
  <c r="L45" i="15" s="1"/>
  <c r="C11" i="6"/>
  <c r="C14" i="6"/>
  <c r="C15" i="6" s="1"/>
  <c r="C17" i="6"/>
  <c r="C18" i="6" s="1"/>
  <c r="C19" i="6"/>
  <c r="C20" i="6" s="1"/>
  <c r="C27" i="6"/>
  <c r="C28" i="6" s="1"/>
  <c r="C29" i="6"/>
  <c r="C30" i="6"/>
  <c r="P29" i="6" s="1"/>
  <c r="C32" i="6"/>
  <c r="A1" i="6"/>
  <c r="A3" i="6"/>
  <c r="A4" i="6"/>
  <c r="A1" i="5"/>
  <c r="A3" i="5"/>
  <c r="A4" i="5"/>
  <c r="J7" i="1"/>
  <c r="J8" i="1"/>
  <c r="K8" i="1"/>
  <c r="L8" i="1"/>
  <c r="M8" i="1"/>
  <c r="N8" i="1"/>
  <c r="O8" i="1"/>
  <c r="K9" i="1"/>
  <c r="N9" i="1"/>
  <c r="O9" i="1"/>
  <c r="M10" i="1"/>
  <c r="N10" i="1"/>
  <c r="M11" i="1"/>
  <c r="N11" i="1"/>
  <c r="N12" i="1"/>
  <c r="M13" i="1"/>
  <c r="N13" i="1"/>
  <c r="M14" i="1"/>
  <c r="N14" i="1"/>
  <c r="N15" i="1"/>
  <c r="M18" i="1"/>
  <c r="N18" i="1"/>
  <c r="M19" i="1"/>
  <c r="N19" i="1"/>
  <c r="M20" i="1"/>
  <c r="N20" i="1"/>
  <c r="K21" i="1"/>
  <c r="M21" i="1"/>
  <c r="N21" i="1"/>
  <c r="K22" i="1"/>
  <c r="M22" i="1"/>
  <c r="N22" i="1"/>
  <c r="O22" i="1"/>
  <c r="F19" i="6"/>
  <c r="D17" i="2"/>
  <c r="F21" i="6" s="1"/>
  <c r="D21" i="2"/>
  <c r="F29" i="6" s="1"/>
  <c r="D22" i="2"/>
  <c r="F30" i="6" s="1"/>
  <c r="D23" i="2"/>
  <c r="F32" i="6" s="1"/>
  <c r="H36" i="5"/>
  <c r="I29" i="15" s="1"/>
  <c r="D14" i="4"/>
  <c r="D15" i="4" s="1"/>
  <c r="C13" i="4"/>
  <c r="C14" i="4" s="1"/>
  <c r="E14" i="4" s="1"/>
  <c r="D12" i="4"/>
  <c r="H29" i="15" l="1"/>
  <c r="G36" i="5"/>
  <c r="AG25" i="15"/>
  <c r="V25" i="15"/>
  <c r="AG24" i="15"/>
  <c r="V24" i="15"/>
  <c r="K34" i="15"/>
  <c r="U18" i="15"/>
  <c r="P55" i="15"/>
  <c r="V22" i="15"/>
  <c r="W22" i="15" s="1"/>
  <c r="M50" i="15"/>
  <c r="H50" i="15" s="1"/>
  <c r="AF24" i="15" s="1"/>
  <c r="U24" i="15"/>
  <c r="W24" i="15" s="1"/>
  <c r="K45" i="15"/>
  <c r="U23" i="15"/>
  <c r="K26" i="15"/>
  <c r="U19" i="15"/>
  <c r="AG19" i="15"/>
  <c r="V19" i="15"/>
  <c r="AG18" i="15"/>
  <c r="V18" i="15"/>
  <c r="K21" i="15"/>
  <c r="U25" i="15"/>
  <c r="W25" i="15" s="1"/>
  <c r="AY15" i="15"/>
  <c r="G13" i="5"/>
  <c r="G35" i="5"/>
  <c r="G12" i="5"/>
  <c r="G25" i="5"/>
  <c r="K31" i="15"/>
  <c r="AW16" i="15"/>
  <c r="BB15" i="15"/>
  <c r="AF28" i="11"/>
  <c r="AI28" i="11" s="1"/>
  <c r="AM41" i="11"/>
  <c r="AM29" i="15"/>
  <c r="AJ43" i="15"/>
  <c r="AL41" i="11"/>
  <c r="AK29" i="15"/>
  <c r="AF23" i="11"/>
  <c r="AI23" i="11" s="1"/>
  <c r="AF22" i="11"/>
  <c r="AJ22" i="11" s="1"/>
  <c r="AX15" i="15"/>
  <c r="K17" i="15"/>
  <c r="H17" i="15"/>
  <c r="AF20" i="15" s="1"/>
  <c r="J14" i="14"/>
  <c r="J24" i="14"/>
  <c r="J12" i="14"/>
  <c r="J23" i="14"/>
  <c r="L12" i="14"/>
  <c r="J22" i="14"/>
  <c r="L14" i="14"/>
  <c r="L16" i="14"/>
  <c r="J20" i="14"/>
  <c r="L18" i="14"/>
  <c r="J19" i="14"/>
  <c r="L19" i="14"/>
  <c r="J18" i="14"/>
  <c r="L20" i="14"/>
  <c r="J17" i="14"/>
  <c r="L22" i="14"/>
  <c r="J11" i="14"/>
  <c r="J16" i="14"/>
  <c r="L23" i="14"/>
  <c r="J21" i="14"/>
  <c r="J27" i="14"/>
  <c r="J15" i="14"/>
  <c r="L24" i="14"/>
  <c r="L27" i="14"/>
  <c r="J26" i="14"/>
  <c r="J25" i="14"/>
  <c r="J13" i="14"/>
  <c r="N56" i="15"/>
  <c r="P56" i="15" s="1"/>
  <c r="AR20" i="15" s="1"/>
  <c r="AF29" i="11"/>
  <c r="E15" i="2"/>
  <c r="N32" i="15"/>
  <c r="V17" i="15" s="1"/>
  <c r="W17" i="15" s="1"/>
  <c r="N17" i="15"/>
  <c r="V20" i="15" s="1"/>
  <c r="AF27" i="11"/>
  <c r="AH27" i="11" s="1"/>
  <c r="AF21" i="11"/>
  <c r="AJ21" i="11" s="1"/>
  <c r="N52" i="15"/>
  <c r="D29" i="11"/>
  <c r="G29" i="11" s="1"/>
  <c r="AN43" i="15"/>
  <c r="G16" i="8"/>
  <c r="H25" i="15"/>
  <c r="AF19" i="15" s="1"/>
  <c r="AH28" i="11"/>
  <c r="AJ25" i="11"/>
  <c r="AH26" i="11"/>
  <c r="AI26" i="11"/>
  <c r="AJ26" i="11"/>
  <c r="AL26" i="11"/>
  <c r="AH25" i="11"/>
  <c r="AI25" i="11"/>
  <c r="AF30" i="11"/>
  <c r="AG22" i="15"/>
  <c r="N54" i="15"/>
  <c r="V21" i="15" s="1"/>
  <c r="W21" i="15" s="1"/>
  <c r="AI43" i="15"/>
  <c r="AK43" i="15"/>
  <c r="AF52" i="15"/>
  <c r="AF44" i="15"/>
  <c r="AF45" i="15"/>
  <c r="AF49" i="15"/>
  <c r="AF50" i="15"/>
  <c r="AF46" i="15"/>
  <c r="AF51" i="15"/>
  <c r="AF48" i="15"/>
  <c r="AF47" i="15"/>
  <c r="Z44" i="15"/>
  <c r="Z17" i="15" s="1"/>
  <c r="AB44" i="15"/>
  <c r="AB17" i="15" s="1"/>
  <c r="AC44" i="15"/>
  <c r="AC17" i="15" s="1"/>
  <c r="Y44" i="15"/>
  <c r="Y17" i="15" s="1"/>
  <c r="U47" i="15"/>
  <c r="U45" i="15"/>
  <c r="U46" i="15"/>
  <c r="U49" i="15"/>
  <c r="U48" i="15"/>
  <c r="U43" i="15"/>
  <c r="U52" i="15"/>
  <c r="U51" i="15"/>
  <c r="U50" i="15"/>
  <c r="AH38" i="11"/>
  <c r="AK38" i="11"/>
  <c r="D37" i="16"/>
  <c r="E32" i="16"/>
  <c r="E36" i="16"/>
  <c r="E35" i="16"/>
  <c r="E34" i="16"/>
  <c r="E33" i="16"/>
  <c r="E31" i="16"/>
  <c r="E30" i="16"/>
  <c r="E29" i="16"/>
  <c r="E28" i="16"/>
  <c r="E27" i="16"/>
  <c r="E26" i="16"/>
  <c r="E25" i="16"/>
  <c r="E23" i="16"/>
  <c r="E22" i="16"/>
  <c r="E21" i="16"/>
  <c r="E24" i="16"/>
  <c r="E20" i="16"/>
  <c r="E19" i="16"/>
  <c r="E18" i="16"/>
  <c r="E17" i="16"/>
  <c r="N34" i="15"/>
  <c r="P34" i="15" s="1"/>
  <c r="S35" i="11"/>
  <c r="J27" i="11"/>
  <c r="S30" i="11"/>
  <c r="S27" i="11"/>
  <c r="X37" i="11"/>
  <c r="AL38" i="11" s="1"/>
  <c r="E37" i="11"/>
  <c r="N37" i="11"/>
  <c r="N36" i="11" s="1"/>
  <c r="O36" i="11" s="1"/>
  <c r="H37" i="11"/>
  <c r="AI38" i="11" s="1"/>
  <c r="Q37" i="11"/>
  <c r="AJ38" i="11" s="1"/>
  <c r="K36" i="11"/>
  <c r="L36" i="11" s="1"/>
  <c r="L30" i="11"/>
  <c r="T37" i="11"/>
  <c r="AA37" i="11"/>
  <c r="AA25" i="11" s="1"/>
  <c r="AA26" i="11" s="1"/>
  <c r="N30" i="15"/>
  <c r="D24" i="11"/>
  <c r="G24" i="11" s="1"/>
  <c r="Z26" i="11"/>
  <c r="S32" i="11"/>
  <c r="G26" i="11"/>
  <c r="S29" i="11"/>
  <c r="M26" i="11"/>
  <c r="P26" i="11"/>
  <c r="S28" i="11"/>
  <c r="J26" i="11"/>
  <c r="P27" i="11"/>
  <c r="S26" i="11"/>
  <c r="S34" i="11"/>
  <c r="S33" i="11"/>
  <c r="L29" i="11"/>
  <c r="L28" i="11"/>
  <c r="L27" i="11"/>
  <c r="L26" i="11"/>
  <c r="L23" i="11"/>
  <c r="L25" i="11"/>
  <c r="L24" i="11"/>
  <c r="L35" i="11"/>
  <c r="L34" i="11"/>
  <c r="L33" i="11"/>
  <c r="L32" i="11"/>
  <c r="L31" i="11"/>
  <c r="P28" i="11"/>
  <c r="P29" i="11"/>
  <c r="P30" i="11"/>
  <c r="P32" i="11"/>
  <c r="P33" i="11"/>
  <c r="P34" i="11"/>
  <c r="P35" i="11"/>
  <c r="M28" i="11"/>
  <c r="M29" i="11"/>
  <c r="M30" i="11"/>
  <c r="J33" i="11"/>
  <c r="M32" i="11"/>
  <c r="M33" i="11"/>
  <c r="M34" i="11"/>
  <c r="M35" i="11"/>
  <c r="M27" i="11"/>
  <c r="J28" i="11"/>
  <c r="J30" i="11"/>
  <c r="J32" i="11"/>
  <c r="J34" i="11"/>
  <c r="G35" i="11"/>
  <c r="C16" i="6"/>
  <c r="P57" i="15"/>
  <c r="AR21" i="15" s="1"/>
  <c r="P58" i="15"/>
  <c r="AR22" i="15" s="1"/>
  <c r="P45" i="15"/>
  <c r="N53" i="15"/>
  <c r="P47" i="15"/>
  <c r="N51" i="15"/>
  <c r="P51" i="15" s="1"/>
  <c r="P50" i="15"/>
  <c r="K53" i="15"/>
  <c r="K52" i="15"/>
  <c r="N44" i="15"/>
  <c r="V23" i="15" s="1"/>
  <c r="C33" i="6"/>
  <c r="E24" i="6" s="1"/>
  <c r="P33" i="15"/>
  <c r="I30" i="15"/>
  <c r="H30" i="15"/>
  <c r="D30" i="15"/>
  <c r="D48" i="15" s="1"/>
  <c r="E48" i="15" s="1"/>
  <c r="K30" i="15"/>
  <c r="N31" i="15"/>
  <c r="G16" i="5"/>
  <c r="E17" i="5"/>
  <c r="G17" i="5"/>
  <c r="E13" i="5"/>
  <c r="E18" i="5"/>
  <c r="E12" i="5"/>
  <c r="E35" i="5"/>
  <c r="G18" i="5"/>
  <c r="E34" i="5"/>
  <c r="G19" i="5"/>
  <c r="E31" i="5"/>
  <c r="G31" i="5"/>
  <c r="E19" i="5"/>
  <c r="P25" i="15"/>
  <c r="N18" i="15"/>
  <c r="P18" i="15" s="1"/>
  <c r="N24" i="15"/>
  <c r="P24" i="15" s="1"/>
  <c r="N26" i="15"/>
  <c r="P26" i="15" s="1"/>
  <c r="P20" i="15"/>
  <c r="P21" i="15"/>
  <c r="J28" i="15"/>
  <c r="J38" i="15"/>
  <c r="J37" i="15"/>
  <c r="J36" i="15"/>
  <c r="J35" i="15"/>
  <c r="J27" i="15"/>
  <c r="J43" i="15"/>
  <c r="J42" i="15"/>
  <c r="J41" i="15"/>
  <c r="J24" i="15"/>
  <c r="J22" i="15"/>
  <c r="J40" i="15"/>
  <c r="J39" i="15"/>
  <c r="F44" i="15"/>
  <c r="F47" i="15"/>
  <c r="F46" i="15"/>
  <c r="G49" i="15"/>
  <c r="G43" i="15"/>
  <c r="G20" i="15"/>
  <c r="G39" i="15"/>
  <c r="G38" i="15"/>
  <c r="G37" i="15"/>
  <c r="G36" i="15"/>
  <c r="G35" i="15"/>
  <c r="G33" i="15"/>
  <c r="G29" i="15"/>
  <c r="G28" i="15"/>
  <c r="G27" i="15"/>
  <c r="G42" i="15"/>
  <c r="G25" i="15"/>
  <c r="G41" i="15"/>
  <c r="G24" i="15"/>
  <c r="G40" i="15"/>
  <c r="G10" i="8"/>
  <c r="N16" i="2"/>
  <c r="N12" i="2"/>
  <c r="N20" i="2"/>
  <c r="N15" i="2"/>
  <c r="P13" i="2"/>
  <c r="N11" i="2"/>
  <c r="N17" i="2"/>
  <c r="N13" i="2"/>
  <c r="N19" i="2"/>
  <c r="N14" i="2"/>
  <c r="N21" i="2"/>
  <c r="N10" i="2"/>
  <c r="F66" i="1"/>
  <c r="W16" i="11" s="1"/>
  <c r="W37" i="11" s="1"/>
  <c r="W13" i="13"/>
  <c r="G22" i="12"/>
  <c r="G23" i="12"/>
  <c r="E18" i="2"/>
  <c r="O16" i="2" s="1"/>
  <c r="E19" i="2"/>
  <c r="O17" i="2" s="1"/>
  <c r="E12" i="13"/>
  <c r="L16" i="13" s="1"/>
  <c r="D12" i="13"/>
  <c r="K14" i="13" s="1"/>
  <c r="F12" i="13"/>
  <c r="M14" i="13" s="1"/>
  <c r="H12" i="13"/>
  <c r="O16" i="13" s="1"/>
  <c r="I12" i="13"/>
  <c r="Y17" i="13" s="1"/>
  <c r="AA17" i="13" s="1"/>
  <c r="G12" i="13"/>
  <c r="N14" i="13" s="1"/>
  <c r="M15" i="1"/>
  <c r="H25" i="6"/>
  <c r="G21" i="12"/>
  <c r="G20" i="12"/>
  <c r="E13" i="12"/>
  <c r="E12" i="12"/>
  <c r="E16" i="12"/>
  <c r="E14" i="12"/>
  <c r="E22" i="12"/>
  <c r="E21" i="12"/>
  <c r="E20" i="12"/>
  <c r="E19" i="12"/>
  <c r="E18" i="12"/>
  <c r="E17" i="12"/>
  <c r="E15" i="12"/>
  <c r="E11" i="12"/>
  <c r="E10" i="12"/>
  <c r="G19" i="12"/>
  <c r="G24" i="12"/>
  <c r="G10" i="12"/>
  <c r="G16" i="12"/>
  <c r="G11" i="12"/>
  <c r="G14" i="12"/>
  <c r="G15" i="12"/>
  <c r="G17" i="12"/>
  <c r="G12" i="12"/>
  <c r="G18" i="12"/>
  <c r="F64" i="1"/>
  <c r="C11" i="1" s="1"/>
  <c r="I25" i="6"/>
  <c r="I26" i="6" s="1"/>
  <c r="H17" i="1"/>
  <c r="O17" i="1" s="1"/>
  <c r="L17" i="1"/>
  <c r="F70" i="1"/>
  <c r="C13" i="1" s="1"/>
  <c r="C12" i="1" s="1"/>
  <c r="K12" i="1" s="1"/>
  <c r="AH40" i="11"/>
  <c r="F16" i="1"/>
  <c r="C23" i="6" s="1"/>
  <c r="P24" i="6" s="1"/>
  <c r="C26" i="6"/>
  <c r="G11" i="8"/>
  <c r="I23" i="6"/>
  <c r="L16" i="1"/>
  <c r="N16" i="10"/>
  <c r="N17" i="10"/>
  <c r="N18" i="10"/>
  <c r="N19" i="10"/>
  <c r="N20" i="10"/>
  <c r="N21" i="10"/>
  <c r="N22" i="10"/>
  <c r="N14" i="10"/>
  <c r="N13" i="10"/>
  <c r="N15" i="10"/>
  <c r="E20" i="10"/>
  <c r="E22" i="10"/>
  <c r="E19" i="10"/>
  <c r="E24" i="10"/>
  <c r="E21" i="10"/>
  <c r="E18" i="10"/>
  <c r="E23" i="10"/>
  <c r="E16" i="10"/>
  <c r="E15" i="10"/>
  <c r="E17" i="10"/>
  <c r="E13" i="10"/>
  <c r="E14" i="10"/>
  <c r="E26" i="10"/>
  <c r="H36" i="6"/>
  <c r="G15" i="8"/>
  <c r="G14" i="8"/>
  <c r="G13" i="8"/>
  <c r="E13" i="8"/>
  <c r="E18" i="8"/>
  <c r="E17" i="8"/>
  <c r="E16" i="8"/>
  <c r="E15" i="8"/>
  <c r="E14" i="8"/>
  <c r="E12" i="8"/>
  <c r="E11" i="8"/>
  <c r="E9" i="8"/>
  <c r="G17" i="8"/>
  <c r="G18" i="8"/>
  <c r="G9" i="8"/>
  <c r="E19" i="8"/>
  <c r="G19" i="8"/>
  <c r="K31" i="6"/>
  <c r="H11" i="6"/>
  <c r="D12" i="6"/>
  <c r="H14" i="6"/>
  <c r="B49" i="6"/>
  <c r="H29" i="6"/>
  <c r="H19" i="6"/>
  <c r="H27" i="6"/>
  <c r="H21" i="6"/>
  <c r="H17" i="6"/>
  <c r="H30" i="6"/>
  <c r="H32" i="6"/>
  <c r="F16" i="6"/>
  <c r="H16" i="6" s="1"/>
  <c r="I23" i="5"/>
  <c r="I36" i="5"/>
  <c r="I12" i="5"/>
  <c r="I15" i="5"/>
  <c r="I28" i="5"/>
  <c r="I29" i="5"/>
  <c r="I30" i="5"/>
  <c r="I18" i="5"/>
  <c r="I32" i="5"/>
  <c r="I33" i="5"/>
  <c r="I34" i="5"/>
  <c r="I35" i="5"/>
  <c r="I25" i="5"/>
  <c r="I24" i="5"/>
  <c r="I13" i="5"/>
  <c r="I27" i="5"/>
  <c r="I17" i="5"/>
  <c r="I31" i="5"/>
  <c r="I20" i="5"/>
  <c r="I21" i="5"/>
  <c r="I22" i="5"/>
  <c r="I26" i="5"/>
  <c r="I14" i="5"/>
  <c r="I19" i="5"/>
  <c r="I16" i="5"/>
  <c r="E13" i="4"/>
  <c r="C15" i="4"/>
  <c r="E15" i="4" s="1"/>
  <c r="D16" i="4"/>
  <c r="D17" i="4" s="1"/>
  <c r="D18" i="4" s="1"/>
  <c r="D19" i="4" s="1"/>
  <c r="D20" i="4" s="1"/>
  <c r="D21" i="4" s="1"/>
  <c r="D22" i="4" s="1"/>
  <c r="BG25" i="15" l="1"/>
  <c r="BG34" i="15"/>
  <c r="V16" i="15"/>
  <c r="BG29" i="15"/>
  <c r="BG30" i="15"/>
  <c r="BG31" i="15"/>
  <c r="BG32" i="15"/>
  <c r="BG33" i="15"/>
  <c r="W18" i="15"/>
  <c r="AY16" i="15"/>
  <c r="M17" i="15"/>
  <c r="U20" i="15"/>
  <c r="W20" i="15" s="1"/>
  <c r="W19" i="15"/>
  <c r="P31" i="15"/>
  <c r="BA8" i="15"/>
  <c r="U16" i="15"/>
  <c r="W23" i="15"/>
  <c r="AJ28" i="11"/>
  <c r="AF16" i="15"/>
  <c r="BA9" i="15"/>
  <c r="BG26" i="15"/>
  <c r="BG17" i="15"/>
  <c r="BG19" i="15"/>
  <c r="BG16" i="15"/>
  <c r="BG27" i="15"/>
  <c r="BG18" i="15"/>
  <c r="BG23" i="15"/>
  <c r="BG24" i="15"/>
  <c r="BG28" i="15"/>
  <c r="BG14" i="15"/>
  <c r="BG15" i="15"/>
  <c r="BG20" i="15"/>
  <c r="BG21" i="15"/>
  <c r="BG22" i="15"/>
  <c r="AX16" i="15"/>
  <c r="AW17" i="15"/>
  <c r="BB16" i="15"/>
  <c r="AH23" i="11"/>
  <c r="AJ23" i="11"/>
  <c r="AI39" i="11"/>
  <c r="AI35" i="11"/>
  <c r="AJ39" i="11"/>
  <c r="AJ47" i="11" s="1"/>
  <c r="AJ35" i="11"/>
  <c r="AL39" i="11"/>
  <c r="AL47" i="11" s="1"/>
  <c r="AL35" i="11"/>
  <c r="AK39" i="11"/>
  <c r="AK47" i="11" s="1"/>
  <c r="AK35" i="11"/>
  <c r="AK30" i="11"/>
  <c r="AI22" i="11"/>
  <c r="AH39" i="11"/>
  <c r="AH35" i="11"/>
  <c r="AH22" i="11"/>
  <c r="R28" i="11"/>
  <c r="U28" i="11" s="1"/>
  <c r="T28" i="11" s="1"/>
  <c r="R32" i="11"/>
  <c r="R23" i="11"/>
  <c r="U23" i="11" s="1"/>
  <c r="T23" i="11" s="1"/>
  <c r="AH41" i="11"/>
  <c r="AB26" i="11"/>
  <c r="AM38" i="11"/>
  <c r="AH29" i="11"/>
  <c r="AJ29" i="11"/>
  <c r="AG20" i="15"/>
  <c r="AG21" i="15"/>
  <c r="P54" i="15"/>
  <c r="P17" i="15"/>
  <c r="AR23" i="15"/>
  <c r="AI29" i="11"/>
  <c r="P52" i="15"/>
  <c r="AI16" i="15"/>
  <c r="AJ27" i="11"/>
  <c r="AH21" i="11"/>
  <c r="AL21" i="11"/>
  <c r="AI21" i="11"/>
  <c r="AI27" i="11"/>
  <c r="AJ30" i="11"/>
  <c r="AM21" i="11"/>
  <c r="AF20" i="11"/>
  <c r="AI20" i="11" s="1"/>
  <c r="AF24" i="11"/>
  <c r="J29" i="11"/>
  <c r="AG17" i="15"/>
  <c r="P32" i="15"/>
  <c r="P30" i="15"/>
  <c r="AL30" i="11"/>
  <c r="AI30" i="11"/>
  <c r="AH30" i="11"/>
  <c r="N29" i="15"/>
  <c r="P29" i="15" s="1"/>
  <c r="AG16" i="15"/>
  <c r="P44" i="15"/>
  <c r="AG23" i="15"/>
  <c r="AK50" i="15"/>
  <c r="AK23" i="15" s="1"/>
  <c r="AJ50" i="15"/>
  <c r="AJ23" i="15" s="1"/>
  <c r="AI50" i="15"/>
  <c r="AI23" i="15" s="1"/>
  <c r="AL46" i="15"/>
  <c r="AK46" i="15"/>
  <c r="AJ46" i="15"/>
  <c r="AJ19" i="15" s="1"/>
  <c r="AI46" i="15"/>
  <c r="AI19" i="15" s="1"/>
  <c r="AN45" i="15"/>
  <c r="AK45" i="15"/>
  <c r="AJ45" i="15"/>
  <c r="AJ18" i="15" s="1"/>
  <c r="AI45" i="15"/>
  <c r="AI18" i="15" s="1"/>
  <c r="AN52" i="15"/>
  <c r="AK52" i="15"/>
  <c r="AK25" i="15" s="1"/>
  <c r="AJ52" i="15"/>
  <c r="AJ25" i="15" s="1"/>
  <c r="AI52" i="15"/>
  <c r="AI25" i="15" s="1"/>
  <c r="AM49" i="15"/>
  <c r="AJ49" i="15"/>
  <c r="AK49" i="15"/>
  <c r="AI49" i="15"/>
  <c r="AJ44" i="15"/>
  <c r="AN44" i="15"/>
  <c r="AM44" i="15"/>
  <c r="AK44" i="15"/>
  <c r="AI44" i="15"/>
  <c r="AK48" i="15"/>
  <c r="AK21" i="15" s="1"/>
  <c r="AJ48" i="15"/>
  <c r="AJ21" i="15" s="1"/>
  <c r="AI48" i="15"/>
  <c r="AI21" i="15" s="1"/>
  <c r="AN47" i="15"/>
  <c r="AN20" i="15" s="1"/>
  <c r="AJ47" i="15"/>
  <c r="AJ20" i="15" s="1"/>
  <c r="AK47" i="15"/>
  <c r="AI47" i="15"/>
  <c r="AI20" i="15" s="1"/>
  <c r="AN51" i="15"/>
  <c r="AN24" i="15" s="1"/>
  <c r="AK51" i="15"/>
  <c r="AK24" i="15" s="1"/>
  <c r="AJ51" i="15"/>
  <c r="AJ24" i="15" s="1"/>
  <c r="AI51" i="15"/>
  <c r="AI24" i="15" s="1"/>
  <c r="AA49" i="15"/>
  <c r="AA22" i="15" s="1"/>
  <c r="AB49" i="15"/>
  <c r="AB22" i="15" s="1"/>
  <c r="X49" i="15"/>
  <c r="X22" i="15" s="1"/>
  <c r="Y49" i="15"/>
  <c r="Y22" i="15" s="1"/>
  <c r="Z49" i="15"/>
  <c r="Z22" i="15" s="1"/>
  <c r="Z50" i="15"/>
  <c r="Z23" i="15" s="1"/>
  <c r="Y50" i="15"/>
  <c r="Y23" i="15" s="1"/>
  <c r="X50" i="15"/>
  <c r="X23" i="15" s="1"/>
  <c r="AC51" i="15"/>
  <c r="AC24" i="15" s="1"/>
  <c r="X51" i="15"/>
  <c r="X24" i="15" s="1"/>
  <c r="Y51" i="15"/>
  <c r="Y24" i="15" s="1"/>
  <c r="Z51" i="15"/>
  <c r="Z24" i="15" s="1"/>
  <c r="Z48" i="15"/>
  <c r="Z21" i="15" s="1"/>
  <c r="X48" i="15"/>
  <c r="X21" i="15" s="1"/>
  <c r="Y48" i="15"/>
  <c r="Y21" i="15" s="1"/>
  <c r="X45" i="15"/>
  <c r="X18" i="15" s="1"/>
  <c r="Y45" i="15"/>
  <c r="Y18" i="15" s="1"/>
  <c r="Z45" i="15"/>
  <c r="Z18" i="15" s="1"/>
  <c r="AC52" i="15"/>
  <c r="AC25" i="15" s="1"/>
  <c r="Y52" i="15"/>
  <c r="Y25" i="15" s="1"/>
  <c r="X52" i="15"/>
  <c r="X25" i="15" s="1"/>
  <c r="Z52" i="15"/>
  <c r="Z25" i="15" s="1"/>
  <c r="Z47" i="15"/>
  <c r="Z20" i="15" s="1"/>
  <c r="X47" i="15"/>
  <c r="X20" i="15" s="1"/>
  <c r="Y47" i="15"/>
  <c r="Y20" i="15" s="1"/>
  <c r="Y46" i="15"/>
  <c r="Y19" i="15" s="1"/>
  <c r="Z46" i="15"/>
  <c r="Z19" i="15" s="1"/>
  <c r="AA46" i="15"/>
  <c r="AA19" i="15" s="1"/>
  <c r="X46" i="15"/>
  <c r="X19" i="15" s="1"/>
  <c r="X43" i="15"/>
  <c r="X16" i="15" s="1"/>
  <c r="Y43" i="15"/>
  <c r="Z43" i="15"/>
  <c r="Z16" i="15" s="1"/>
  <c r="AC43" i="15"/>
  <c r="R24" i="11"/>
  <c r="U24" i="11" s="1"/>
  <c r="R29" i="11"/>
  <c r="R25" i="11"/>
  <c r="U25" i="11" s="1"/>
  <c r="T25" i="11" s="1"/>
  <c r="R33" i="11"/>
  <c r="U33" i="11" s="1"/>
  <c r="T33" i="11" s="1"/>
  <c r="R30" i="11"/>
  <c r="U30" i="11" s="1"/>
  <c r="T30" i="11" s="1"/>
  <c r="AA48" i="15" s="1"/>
  <c r="AA21" i="15" s="1"/>
  <c r="Q36" i="11"/>
  <c r="R36" i="11" s="1"/>
  <c r="R34" i="11"/>
  <c r="U34" i="11" s="1"/>
  <c r="T34" i="11" s="1"/>
  <c r="V34" i="11" s="1"/>
  <c r="R27" i="11"/>
  <c r="U27" i="11" s="1"/>
  <c r="T27" i="11" s="1"/>
  <c r="V27" i="11" s="1"/>
  <c r="O31" i="11"/>
  <c r="R35" i="11"/>
  <c r="U35" i="11" s="1"/>
  <c r="T35" i="11" s="1"/>
  <c r="V35" i="11" s="1"/>
  <c r="F27" i="11"/>
  <c r="F26" i="11"/>
  <c r="F23" i="11"/>
  <c r="F32" i="11"/>
  <c r="AA30" i="11"/>
  <c r="AC48" i="15" s="1"/>
  <c r="AC21" i="15" s="1"/>
  <c r="AA29" i="11"/>
  <c r="AC29" i="11" s="1"/>
  <c r="AA31" i="11"/>
  <c r="I24" i="11"/>
  <c r="F24" i="11"/>
  <c r="F30" i="11"/>
  <c r="F34" i="11"/>
  <c r="F35" i="11"/>
  <c r="AA34" i="11"/>
  <c r="AC34" i="11" s="1"/>
  <c r="AA27" i="11"/>
  <c r="AC27" i="11" s="1"/>
  <c r="AB24" i="11"/>
  <c r="Y25" i="11"/>
  <c r="O35" i="11"/>
  <c r="Y35" i="11" s="1"/>
  <c r="AB35" i="11" s="1"/>
  <c r="AA35" i="11" s="1"/>
  <c r="AC35" i="11" s="1"/>
  <c r="Y26" i="11"/>
  <c r="O34" i="11"/>
  <c r="N15" i="11"/>
  <c r="I26" i="11"/>
  <c r="F25" i="11"/>
  <c r="O29" i="11"/>
  <c r="O33" i="11"/>
  <c r="Y33" i="11" s="1"/>
  <c r="AB33" i="11" s="1"/>
  <c r="AA33" i="11" s="1"/>
  <c r="O32" i="11"/>
  <c r="E36" i="11"/>
  <c r="H36" i="11"/>
  <c r="H14" i="11" s="1"/>
  <c r="O25" i="11"/>
  <c r="F28" i="11"/>
  <c r="F31" i="11"/>
  <c r="O28" i="11"/>
  <c r="F29" i="11"/>
  <c r="AA28" i="11"/>
  <c r="AN46" i="15" s="1"/>
  <c r="O26" i="11"/>
  <c r="I27" i="11"/>
  <c r="O24" i="11"/>
  <c r="O27" i="11"/>
  <c r="I25" i="11"/>
  <c r="F33" i="11"/>
  <c r="AA32" i="11"/>
  <c r="AC32" i="11" s="1"/>
  <c r="O30" i="11"/>
  <c r="Y30" i="11" s="1"/>
  <c r="R26" i="11"/>
  <c r="U26" i="11" s="1"/>
  <c r="T26" i="11" s="1"/>
  <c r="AL44" i="15" s="1"/>
  <c r="R31" i="11"/>
  <c r="U31" i="11" s="1"/>
  <c r="T31" i="11" s="1"/>
  <c r="AK26" i="11" s="1"/>
  <c r="Q15" i="11"/>
  <c r="K15" i="11"/>
  <c r="AB23" i="11"/>
  <c r="J24" i="11"/>
  <c r="J40" i="11" s="1"/>
  <c r="J41" i="11" s="1"/>
  <c r="M24" i="11"/>
  <c r="M40" i="11" s="1"/>
  <c r="M41" i="11" s="1"/>
  <c r="AC24" i="11"/>
  <c r="S24" i="11"/>
  <c r="S40" i="11" s="1"/>
  <c r="S41" i="11" s="1"/>
  <c r="P24" i="11"/>
  <c r="P40" i="11" s="1"/>
  <c r="P41" i="11" s="1"/>
  <c r="G40" i="11"/>
  <c r="G41" i="11" s="1"/>
  <c r="L37" i="11"/>
  <c r="W27" i="11"/>
  <c r="W23" i="11"/>
  <c r="X23" i="11" s="1"/>
  <c r="X24" i="11" s="1"/>
  <c r="AC26" i="11"/>
  <c r="I29" i="11"/>
  <c r="I30" i="11"/>
  <c r="I28" i="11"/>
  <c r="AI40" i="11"/>
  <c r="I23" i="11"/>
  <c r="I31" i="11"/>
  <c r="I35" i="11"/>
  <c r="I34" i="11"/>
  <c r="O23" i="11"/>
  <c r="I33" i="11"/>
  <c r="W24" i="11"/>
  <c r="I32" i="11"/>
  <c r="E26" i="6"/>
  <c r="P53" i="15"/>
  <c r="M52" i="15"/>
  <c r="H52" i="15" s="1"/>
  <c r="F48" i="15"/>
  <c r="G48" i="15" s="1"/>
  <c r="L14" i="13"/>
  <c r="K11" i="1"/>
  <c r="W15" i="13"/>
  <c r="L15" i="13"/>
  <c r="L13" i="13"/>
  <c r="P15" i="13"/>
  <c r="N15" i="13"/>
  <c r="N16" i="13"/>
  <c r="P16" i="13"/>
  <c r="P14" i="13"/>
  <c r="N13" i="13"/>
  <c r="P13" i="13"/>
  <c r="K16" i="13"/>
  <c r="K15" i="13"/>
  <c r="K13" i="13"/>
  <c r="Y14" i="13"/>
  <c r="AA14" i="13" s="1"/>
  <c r="Y15" i="13"/>
  <c r="AA15" i="13" s="1"/>
  <c r="O14" i="13"/>
  <c r="M16" i="13"/>
  <c r="Y13" i="13"/>
  <c r="AA13" i="13" s="1"/>
  <c r="Y16" i="13"/>
  <c r="AA16" i="13" s="1"/>
  <c r="M13" i="13"/>
  <c r="O15" i="13"/>
  <c r="M15" i="13"/>
  <c r="W34" i="11"/>
  <c r="X34" i="11" s="1"/>
  <c r="Z34" i="11" s="1"/>
  <c r="W32" i="11"/>
  <c r="X32" i="11" s="1"/>
  <c r="Z32" i="11" s="1"/>
  <c r="W35" i="11"/>
  <c r="X35" i="11" s="1"/>
  <c r="Z35" i="11" s="1"/>
  <c r="W28" i="11"/>
  <c r="X28" i="11" s="1"/>
  <c r="Z28" i="11" s="1"/>
  <c r="W30" i="11"/>
  <c r="X27" i="11"/>
  <c r="Z27" i="11" s="1"/>
  <c r="H16" i="1"/>
  <c r="O16" i="1" s="1"/>
  <c r="H23" i="6"/>
  <c r="K24" i="6"/>
  <c r="I24" i="6" s="1"/>
  <c r="M16" i="1"/>
  <c r="E28" i="6"/>
  <c r="E35" i="6"/>
  <c r="E36" i="6"/>
  <c r="E20" i="6"/>
  <c r="E34" i="6"/>
  <c r="E31" i="6"/>
  <c r="E15" i="6"/>
  <c r="H33" i="6"/>
  <c r="H13" i="6"/>
  <c r="H12" i="6"/>
  <c r="E11" i="6"/>
  <c r="E18" i="6"/>
  <c r="C16" i="4"/>
  <c r="AH47" i="11" l="1"/>
  <c r="AJ16" i="15"/>
  <c r="AH16" i="15"/>
  <c r="AK16" i="15"/>
  <c r="Y16" i="15"/>
  <c r="AY17" i="15"/>
  <c r="BB17" i="15"/>
  <c r="AW18" i="15"/>
  <c r="AX17" i="15"/>
  <c r="Z24" i="11"/>
  <c r="AM43" i="15"/>
  <c r="AM16" i="15" s="1"/>
  <c r="AM52" i="15"/>
  <c r="AM25" i="15" s="1"/>
  <c r="AM46" i="15"/>
  <c r="AM19" i="15" s="1"/>
  <c r="AK22" i="11"/>
  <c r="AL23" i="11"/>
  <c r="AM30" i="11"/>
  <c r="AK21" i="11"/>
  <c r="AI28" i="15"/>
  <c r="V33" i="11"/>
  <c r="AK28" i="11"/>
  <c r="AC50" i="15"/>
  <c r="AC23" i="15" s="1"/>
  <c r="AL29" i="11"/>
  <c r="AC31" i="11"/>
  <c r="AM26" i="11"/>
  <c r="AL27" i="11"/>
  <c r="AL22" i="11"/>
  <c r="AB46" i="15"/>
  <c r="AB19" i="15" s="1"/>
  <c r="AL49" i="15"/>
  <c r="AM45" i="15"/>
  <c r="AM18" i="15" s="1"/>
  <c r="AM50" i="15"/>
  <c r="AM23" i="15" s="1"/>
  <c r="AM27" i="11"/>
  <c r="AB52" i="15"/>
  <c r="AB25" i="15" s="1"/>
  <c r="AN50" i="15"/>
  <c r="AN23" i="15" s="1"/>
  <c r="AM29" i="11"/>
  <c r="U29" i="11"/>
  <c r="T29" i="11" s="1"/>
  <c r="U32" i="11"/>
  <c r="T32" i="11" s="1"/>
  <c r="AC28" i="11"/>
  <c r="AM23" i="11"/>
  <c r="AA52" i="15"/>
  <c r="AA25" i="15" s="1"/>
  <c r="AB50" i="15"/>
  <c r="AB23" i="15" s="1"/>
  <c r="AL45" i="15"/>
  <c r="AC45" i="15"/>
  <c r="AC18" i="15" s="1"/>
  <c r="AA51" i="15"/>
  <c r="AA24" i="15" s="1"/>
  <c r="AM39" i="11"/>
  <c r="AM47" i="11" s="1"/>
  <c r="AM35" i="11"/>
  <c r="AK23" i="11"/>
  <c r="V28" i="11"/>
  <c r="AN49" i="15"/>
  <c r="AB43" i="15"/>
  <c r="AB16" i="15" s="1"/>
  <c r="AC47" i="15"/>
  <c r="AC20" i="15" s="1"/>
  <c r="AB45" i="15"/>
  <c r="AB18" i="15" s="1"/>
  <c r="AA42" i="11"/>
  <c r="AK29" i="11"/>
  <c r="AK25" i="11"/>
  <c r="V30" i="11"/>
  <c r="AC46" i="15"/>
  <c r="AC19" i="15" s="1"/>
  <c r="AC30" i="11"/>
  <c r="AM25" i="11"/>
  <c r="AL48" i="15"/>
  <c r="AL21" i="15" s="1"/>
  <c r="AN48" i="15"/>
  <c r="AC33" i="11"/>
  <c r="AM28" i="11"/>
  <c r="AA45" i="15"/>
  <c r="AA18" i="15" s="1"/>
  <c r="AA44" i="15"/>
  <c r="AA17" i="15" s="1"/>
  <c r="V26" i="11"/>
  <c r="AL51" i="15"/>
  <c r="AL24" i="15" s="1"/>
  <c r="AI41" i="11"/>
  <c r="AI47" i="11" s="1"/>
  <c r="T24" i="11"/>
  <c r="AC49" i="15"/>
  <c r="AC22" i="15" s="1"/>
  <c r="AL52" i="15"/>
  <c r="AL25" i="15" s="1"/>
  <c r="AM22" i="11"/>
  <c r="AH20" i="11"/>
  <c r="AL20" i="11"/>
  <c r="AI24" i="11"/>
  <c r="AH24" i="11"/>
  <c r="AJ24" i="11"/>
  <c r="AM24" i="11"/>
  <c r="AK24" i="11"/>
  <c r="AJ20" i="11"/>
  <c r="AK20" i="11"/>
  <c r="AM20" i="11"/>
  <c r="AJ54" i="15"/>
  <c r="AI54" i="15"/>
  <c r="AN17" i="15"/>
  <c r="AK54" i="15"/>
  <c r="Y54" i="15"/>
  <c r="Z54" i="15"/>
  <c r="X54" i="15"/>
  <c r="AC16" i="15"/>
  <c r="R37" i="11"/>
  <c r="O37" i="11"/>
  <c r="AC40" i="11"/>
  <c r="AC41" i="11" s="1"/>
  <c r="AA36" i="11"/>
  <c r="AB36" i="11" s="1"/>
  <c r="E14" i="11"/>
  <c r="F36" i="11"/>
  <c r="F37" i="11" s="1"/>
  <c r="W33" i="11"/>
  <c r="X33" i="11" s="1"/>
  <c r="I36" i="11"/>
  <c r="I37" i="11" s="1"/>
  <c r="Y24" i="11"/>
  <c r="J16" i="13"/>
  <c r="J14" i="13"/>
  <c r="J15" i="13"/>
  <c r="C10" i="1"/>
  <c r="K10" i="1" s="1"/>
  <c r="X30" i="11"/>
  <c r="C17" i="4"/>
  <c r="E16" i="4"/>
  <c r="BB18" i="15" l="1"/>
  <c r="AN54" i="15"/>
  <c r="AY18" i="15"/>
  <c r="AW19" i="15"/>
  <c r="AX18" i="15"/>
  <c r="BB19" i="15"/>
  <c r="Z33" i="11"/>
  <c r="AL28" i="11"/>
  <c r="AM51" i="15"/>
  <c r="AM24" i="15" s="1"/>
  <c r="AB51" i="15"/>
  <c r="AB24" i="15" s="1"/>
  <c r="Z30" i="11"/>
  <c r="AL25" i="11"/>
  <c r="AM48" i="15"/>
  <c r="AM21" i="15" s="1"/>
  <c r="AB48" i="15"/>
  <c r="AB21" i="15" s="1"/>
  <c r="V32" i="11"/>
  <c r="AA50" i="15"/>
  <c r="AA23" i="15" s="1"/>
  <c r="AK27" i="11"/>
  <c r="AL50" i="15"/>
  <c r="AL23" i="15" s="1"/>
  <c r="V29" i="11"/>
  <c r="AL47" i="15"/>
  <c r="AL20" i="15" s="1"/>
  <c r="AA47" i="15"/>
  <c r="AA20" i="15" s="1"/>
  <c r="AC54" i="15"/>
  <c r="T42" i="11"/>
  <c r="AL43" i="15"/>
  <c r="BA4" i="15" s="1"/>
  <c r="BA5" i="15" s="1"/>
  <c r="BA6" i="15" s="1"/>
  <c r="BA7" i="15" s="1"/>
  <c r="V24" i="11"/>
  <c r="AA43" i="15"/>
  <c r="AA16" i="15" s="1"/>
  <c r="AA15" i="11"/>
  <c r="AJ28" i="15"/>
  <c r="AW20" i="15"/>
  <c r="C18" i="4"/>
  <c r="E17" i="4"/>
  <c r="AX19" i="15" l="1"/>
  <c r="AY19" i="15"/>
  <c r="AY20" i="15" s="1"/>
  <c r="BC14" i="15"/>
  <c r="BC15" i="15"/>
  <c r="BC16" i="15"/>
  <c r="BC17" i="15"/>
  <c r="BC20" i="15"/>
  <c r="BC19" i="15"/>
  <c r="BC18" i="15"/>
  <c r="BB20" i="15"/>
  <c r="AL16" i="15"/>
  <c r="AL54" i="15"/>
  <c r="AA54" i="15"/>
  <c r="AW21" i="15"/>
  <c r="BC21" i="15" s="1"/>
  <c r="AX20" i="15"/>
  <c r="C19" i="4"/>
  <c r="E18" i="4"/>
  <c r="BD14" i="15" l="1"/>
  <c r="BF14" i="15" s="1"/>
  <c r="BE14" i="15"/>
  <c r="AY21" i="15"/>
  <c r="BH15" i="15"/>
  <c r="BE15" i="15"/>
  <c r="BH19" i="15"/>
  <c r="BE19" i="15"/>
  <c r="BH17" i="15"/>
  <c r="BE17" i="15"/>
  <c r="BH16" i="15"/>
  <c r="BE16" i="15"/>
  <c r="BH18" i="15"/>
  <c r="BE18" i="15"/>
  <c r="BH20" i="15"/>
  <c r="BE20" i="15"/>
  <c r="BH14" i="15"/>
  <c r="BE21" i="15"/>
  <c r="BH21" i="15"/>
  <c r="BB21" i="15"/>
  <c r="AW22" i="15"/>
  <c r="BC22" i="15" s="1"/>
  <c r="AX21" i="15"/>
  <c r="C20" i="4"/>
  <c r="E19" i="4"/>
  <c r="BD15" i="15" l="1"/>
  <c r="AY22" i="15"/>
  <c r="BH22" i="15"/>
  <c r="BE22" i="15"/>
  <c r="BB22" i="15"/>
  <c r="AX22" i="15"/>
  <c r="AW23" i="15"/>
  <c r="C21" i="4"/>
  <c r="E20" i="4"/>
  <c r="BC23" i="15" l="1"/>
  <c r="BD16" i="15"/>
  <c r="BF15" i="15"/>
  <c r="AY23" i="15"/>
  <c r="BE23" i="15"/>
  <c r="BH23" i="15"/>
  <c r="BB23" i="15"/>
  <c r="AX23" i="15"/>
  <c r="AW24" i="15"/>
  <c r="C22" i="4"/>
  <c r="E22" i="4" s="1"/>
  <c r="E21" i="4"/>
  <c r="BD17" i="15" l="1"/>
  <c r="BF16" i="15"/>
  <c r="AY24" i="15"/>
  <c r="BC24" i="15"/>
  <c r="AW25" i="15"/>
  <c r="AX24" i="15"/>
  <c r="BB24" i="15"/>
  <c r="F15" i="3"/>
  <c r="F13" i="3"/>
  <c r="D13" i="3"/>
  <c r="H15" i="3"/>
  <c r="D18" i="3"/>
  <c r="C18" i="3"/>
  <c r="E18" i="3"/>
  <c r="A4" i="3"/>
  <c r="A3" i="3"/>
  <c r="A1" i="3"/>
  <c r="C54" i="1"/>
  <c r="C56" i="1" s="1"/>
  <c r="B30" i="1"/>
  <c r="B31" i="1"/>
  <c r="B33" i="1"/>
  <c r="B51" i="6" s="1"/>
  <c r="B34" i="1"/>
  <c r="B53" i="6" s="1"/>
  <c r="B37" i="1"/>
  <c r="B57" i="6" s="1"/>
  <c r="B38" i="1"/>
  <c r="B39" i="1"/>
  <c r="B29" i="1"/>
  <c r="B45" i="6" s="1"/>
  <c r="D12" i="1"/>
  <c r="A1" i="2"/>
  <c r="A3" i="2"/>
  <c r="A4" i="2"/>
  <c r="C10" i="2"/>
  <c r="M10" i="2" s="1"/>
  <c r="C12" i="2"/>
  <c r="C13" i="2"/>
  <c r="C23" i="2"/>
  <c r="M21" i="2" s="1"/>
  <c r="C24" i="2"/>
  <c r="B28" i="2"/>
  <c r="B30" i="2"/>
  <c r="C30" i="2"/>
  <c r="C31" i="2"/>
  <c r="B38" i="2"/>
  <c r="C38" i="2"/>
  <c r="C39" i="2"/>
  <c r="C42" i="2"/>
  <c r="C43" i="2"/>
  <c r="C44" i="2"/>
  <c r="B45" i="2"/>
  <c r="C45" i="2"/>
  <c r="B46" i="2"/>
  <c r="C46" i="2"/>
  <c r="D10" i="1"/>
  <c r="D11" i="1"/>
  <c r="D21" i="1"/>
  <c r="D22" i="1"/>
  <c r="E14" i="1"/>
  <c r="I19" i="6" s="1"/>
  <c r="I20" i="6" s="1"/>
  <c r="E15" i="1"/>
  <c r="I21" i="6" s="1"/>
  <c r="I22" i="6" s="1"/>
  <c r="E18" i="1"/>
  <c r="I27" i="6" s="1"/>
  <c r="I28" i="6" s="1"/>
  <c r="Y8" i="13" s="1"/>
  <c r="V19" i="13" s="1"/>
  <c r="E19" i="1"/>
  <c r="I29" i="6" s="1"/>
  <c r="E20" i="1"/>
  <c r="I30" i="6" s="1"/>
  <c r="I31" i="6" s="1"/>
  <c r="C19" i="1"/>
  <c r="C14" i="1"/>
  <c r="W16" i="13" s="1"/>
  <c r="C20" i="1"/>
  <c r="F28" i="1"/>
  <c r="C44" i="6" s="1"/>
  <c r="E28" i="1"/>
  <c r="F9" i="1"/>
  <c r="M9" i="1" s="1"/>
  <c r="E9" i="1"/>
  <c r="BE24" i="15" l="1"/>
  <c r="BD18" i="15"/>
  <c r="BF17" i="15"/>
  <c r="BH24" i="15"/>
  <c r="AY25" i="15"/>
  <c r="BB25" i="15"/>
  <c r="AX25" i="15"/>
  <c r="AW26" i="15"/>
  <c r="BC25" i="15"/>
  <c r="AJ32" i="11"/>
  <c r="AJ33" i="11" s="1"/>
  <c r="AM32" i="11"/>
  <c r="AM33" i="11" s="1"/>
  <c r="AH32" i="11"/>
  <c r="AI32" i="11"/>
  <c r="AI33" i="11" s="1"/>
  <c r="E24" i="2"/>
  <c r="O22" i="2" s="1"/>
  <c r="M22" i="2"/>
  <c r="E13" i="2"/>
  <c r="O12" i="2" s="1"/>
  <c r="M12" i="2"/>
  <c r="E12" i="2"/>
  <c r="O11" i="2" s="1"/>
  <c r="M11" i="2"/>
  <c r="E23" i="2"/>
  <c r="O21" i="2" s="1"/>
  <c r="W17" i="13"/>
  <c r="V17" i="13"/>
  <c r="V16" i="13"/>
  <c r="V13" i="13"/>
  <c r="V14" i="13"/>
  <c r="V15" i="13"/>
  <c r="B32" i="2"/>
  <c r="B42" i="2"/>
  <c r="B35" i="2"/>
  <c r="B48" i="6"/>
  <c r="B34" i="2"/>
  <c r="B46" i="6"/>
  <c r="B39" i="2"/>
  <c r="B44" i="2"/>
  <c r="B60" i="6"/>
  <c r="B43" i="2"/>
  <c r="B59" i="6"/>
  <c r="H18" i="1"/>
  <c r="O18" i="1" s="1"/>
  <c r="L18" i="1"/>
  <c r="H20" i="1"/>
  <c r="O20" i="1" s="1"/>
  <c r="L20" i="1"/>
  <c r="H15" i="1"/>
  <c r="O15" i="1" s="1"/>
  <c r="L15" i="1"/>
  <c r="H14" i="1"/>
  <c r="O14" i="1" s="1"/>
  <c r="L14" i="1"/>
  <c r="H19" i="1"/>
  <c r="O19" i="1" s="1"/>
  <c r="L19" i="1"/>
  <c r="L9" i="1"/>
  <c r="C22" i="2"/>
  <c r="K20" i="1"/>
  <c r="C20" i="2"/>
  <c r="M18" i="2" s="1"/>
  <c r="K18" i="1"/>
  <c r="C17" i="2"/>
  <c r="K15" i="1"/>
  <c r="C16" i="2"/>
  <c r="K14" i="1"/>
  <c r="D13" i="1"/>
  <c r="C21" i="2"/>
  <c r="K19" i="1"/>
  <c r="E10" i="1"/>
  <c r="E11" i="1"/>
  <c r="E22" i="1"/>
  <c r="C14" i="2"/>
  <c r="K13" i="1"/>
  <c r="E10" i="2"/>
  <c r="O10" i="2" s="1"/>
  <c r="E12" i="1"/>
  <c r="I16" i="6" s="1"/>
  <c r="C23" i="1"/>
  <c r="K23" i="1" s="1"/>
  <c r="E21" i="1"/>
  <c r="F18" i="3"/>
  <c r="F19" i="3" s="1"/>
  <c r="D19" i="3"/>
  <c r="BD19" i="15" l="1"/>
  <c r="BF18" i="15"/>
  <c r="AY26" i="15"/>
  <c r="BH25" i="15"/>
  <c r="BE25" i="15"/>
  <c r="BB26" i="15"/>
  <c r="AX26" i="15"/>
  <c r="AW27" i="15"/>
  <c r="BC26" i="15"/>
  <c r="AM36" i="11"/>
  <c r="AI36" i="11"/>
  <c r="AJ36" i="11"/>
  <c r="AH33" i="11"/>
  <c r="V18" i="13"/>
  <c r="E21" i="2"/>
  <c r="O19" i="2" s="1"/>
  <c r="M19" i="2"/>
  <c r="E17" i="2"/>
  <c r="O15" i="2" s="1"/>
  <c r="M15" i="2"/>
  <c r="E14" i="2"/>
  <c r="O13" i="2" s="1"/>
  <c r="M13" i="2"/>
  <c r="E16" i="2"/>
  <c r="O14" i="2" s="1"/>
  <c r="M14" i="2"/>
  <c r="E22" i="2"/>
  <c r="O20" i="2" s="1"/>
  <c r="M20" i="2"/>
  <c r="E20" i="2"/>
  <c r="O18" i="2" s="1"/>
  <c r="H33" i="12"/>
  <c r="H38" i="12"/>
  <c r="Z15" i="13"/>
  <c r="X15" i="13"/>
  <c r="AB15" i="13"/>
  <c r="AB14" i="13"/>
  <c r="X14" i="13"/>
  <c r="Z14" i="13"/>
  <c r="Z13" i="13"/>
  <c r="AB13" i="13"/>
  <c r="X13" i="13"/>
  <c r="AB16" i="13"/>
  <c r="Z16" i="13"/>
  <c r="X16" i="13"/>
  <c r="AB17" i="13"/>
  <c r="Z17" i="13"/>
  <c r="X17" i="13"/>
  <c r="L21" i="1"/>
  <c r="I32" i="6"/>
  <c r="I33" i="6" s="1"/>
  <c r="L10" i="1"/>
  <c r="I11" i="6"/>
  <c r="L11" i="1"/>
  <c r="I14" i="6"/>
  <c r="I15" i="6" s="1"/>
  <c r="H11" i="1"/>
  <c r="O11" i="1" s="1"/>
  <c r="C25" i="2"/>
  <c r="M23" i="2" s="1"/>
  <c r="O10" i="1"/>
  <c r="L12" i="1"/>
  <c r="L22" i="1"/>
  <c r="H21" i="1"/>
  <c r="O21" i="1" s="1"/>
  <c r="H12" i="1"/>
  <c r="O12" i="1" s="1"/>
  <c r="E13" i="1"/>
  <c r="AJ37" i="11" l="1"/>
  <c r="Z26" i="15" s="1"/>
  <c r="Z27" i="15"/>
  <c r="AK27" i="15"/>
  <c r="AI37" i="11"/>
  <c r="Y26" i="15" s="1"/>
  <c r="Y27" i="15"/>
  <c r="AJ27" i="15"/>
  <c r="AM37" i="11"/>
  <c r="AN26" i="15" s="1"/>
  <c r="AC27" i="15"/>
  <c r="AN27" i="15"/>
  <c r="BD20" i="15"/>
  <c r="BF19" i="15"/>
  <c r="AY27" i="15"/>
  <c r="BH26" i="15"/>
  <c r="BE26" i="15"/>
  <c r="BB27" i="15"/>
  <c r="AW28" i="15"/>
  <c r="AY28" i="15" s="1"/>
  <c r="AX27" i="15"/>
  <c r="BC27" i="15"/>
  <c r="AK26" i="15"/>
  <c r="AJ26" i="15"/>
  <c r="AJ46" i="11"/>
  <c r="AI46" i="11"/>
  <c r="AH36" i="11"/>
  <c r="AM46" i="11"/>
  <c r="E25" i="2"/>
  <c r="O23" i="2" s="1"/>
  <c r="Z19" i="13"/>
  <c r="Z20" i="13" s="1"/>
  <c r="AB19" i="13"/>
  <c r="AB20" i="13" s="1"/>
  <c r="L13" i="1"/>
  <c r="I17" i="6"/>
  <c r="H13" i="1"/>
  <c r="O13" i="1" s="1"/>
  <c r="E22" i="6"/>
  <c r="AC26" i="15" l="1"/>
  <c r="AH37" i="11"/>
  <c r="X26" i="15" s="1"/>
  <c r="AI27" i="15"/>
  <c r="X27" i="15"/>
  <c r="BB28" i="15"/>
  <c r="AW29" i="15"/>
  <c r="AY29" i="15" s="1"/>
  <c r="BD21" i="15"/>
  <c r="BF20" i="15"/>
  <c r="BH27" i="15"/>
  <c r="BE27" i="15"/>
  <c r="AX28" i="15"/>
  <c r="BC28" i="15"/>
  <c r="BD28" i="15" s="1"/>
  <c r="AH46" i="11"/>
  <c r="I18" i="6"/>
  <c r="L18" i="6" s="1"/>
  <c r="AI26" i="15" l="1"/>
  <c r="BF21" i="15"/>
  <c r="BD22" i="15"/>
  <c r="AX29" i="15"/>
  <c r="AW30" i="15"/>
  <c r="AY30" i="15" s="1"/>
  <c r="BC29" i="15"/>
  <c r="BD29" i="15" s="1"/>
  <c r="BB29" i="15"/>
  <c r="BH28" i="15"/>
  <c r="BE28" i="15"/>
  <c r="AB37" i="11"/>
  <c r="H13" i="13"/>
  <c r="O13" i="13" s="1"/>
  <c r="J13" i="13" s="1"/>
  <c r="W29" i="11"/>
  <c r="W42" i="11" s="1"/>
  <c r="BH29" i="15" l="1"/>
  <c r="BE29" i="15"/>
  <c r="BB30" i="15"/>
  <c r="AX30" i="15"/>
  <c r="BC30" i="15"/>
  <c r="BD30" i="15" s="1"/>
  <c r="AW31" i="15"/>
  <c r="AY31" i="15" s="1"/>
  <c r="BF22" i="15"/>
  <c r="BD23" i="15"/>
  <c r="X29" i="11"/>
  <c r="W36" i="11"/>
  <c r="W15" i="11" s="1"/>
  <c r="BH30" i="15" l="1"/>
  <c r="BE30" i="15"/>
  <c r="BF23" i="15"/>
  <c r="BD24" i="15"/>
  <c r="BC31" i="15"/>
  <c r="BD31" i="15" s="1"/>
  <c r="AX31" i="15"/>
  <c r="BB31" i="15"/>
  <c r="AW32" i="15"/>
  <c r="AY32" i="15" s="1"/>
  <c r="AM47" i="15"/>
  <c r="AM54" i="15" s="1"/>
  <c r="AB47" i="15"/>
  <c r="AB20" i="15" s="1"/>
  <c r="X42" i="11"/>
  <c r="AL24" i="11"/>
  <c r="AL32" i="11" s="1"/>
  <c r="AL33" i="11" s="1"/>
  <c r="AL36" i="11" s="1"/>
  <c r="Z29" i="11"/>
  <c r="X36" i="11"/>
  <c r="Y36" i="11" s="1"/>
  <c r="Y37" i="11" s="1"/>
  <c r="AL37" i="11" l="1"/>
  <c r="AB26" i="15" s="1"/>
  <c r="AB27" i="15"/>
  <c r="AM27" i="15"/>
  <c r="BH31" i="15"/>
  <c r="BE31" i="15"/>
  <c r="BF24" i="15"/>
  <c r="BD25" i="15"/>
  <c r="BC32" i="15"/>
  <c r="BD32" i="15" s="1"/>
  <c r="BB32" i="15"/>
  <c r="AX32" i="15"/>
  <c r="AW33" i="15"/>
  <c r="AY33" i="15" s="1"/>
  <c r="AB54" i="15"/>
  <c r="AL46" i="11"/>
  <c r="Z40" i="11"/>
  <c r="Z41" i="11" s="1"/>
  <c r="X15" i="11"/>
  <c r="AM26" i="15" l="1"/>
  <c r="AX33" i="15"/>
  <c r="BB33" i="15"/>
  <c r="BC33" i="15"/>
  <c r="BD33" i="15" s="1"/>
  <c r="AW34" i="15"/>
  <c r="AY34" i="15" s="1"/>
  <c r="BE32" i="15"/>
  <c r="BH32" i="15"/>
  <c r="BF25" i="15"/>
  <c r="BD26" i="15"/>
  <c r="T36" i="11"/>
  <c r="U36" i="11" s="1"/>
  <c r="U37" i="11" s="1"/>
  <c r="V31" i="11"/>
  <c r="V40" i="11" s="1"/>
  <c r="V41" i="11" s="1"/>
  <c r="AK32" i="11"/>
  <c r="AK33" i="11" s="1"/>
  <c r="BF26" i="15" l="1"/>
  <c r="BD27" i="15"/>
  <c r="BC34" i="15"/>
  <c r="BD34" i="15" s="1"/>
  <c r="AX34" i="15"/>
  <c r="BB34" i="15"/>
  <c r="BH33" i="15"/>
  <c r="BE33" i="15"/>
  <c r="AK36" i="11"/>
  <c r="T15" i="11"/>
  <c r="AK37" i="11" l="1"/>
  <c r="AA26" i="15" s="1"/>
  <c r="AA27" i="15"/>
  <c r="AL27" i="15"/>
  <c r="BF27" i="15"/>
  <c r="BH34" i="15"/>
  <c r="BE34" i="15"/>
  <c r="AK46" i="11"/>
  <c r="AL26" i="15" l="1"/>
  <c r="AR18" i="15" s="1"/>
  <c r="BF28" i="15"/>
  <c r="AR17" i="15" l="1"/>
  <c r="AR14" i="15"/>
  <c r="AR15" i="15"/>
  <c r="AR16" i="15"/>
  <c r="BF29" i="15"/>
  <c r="BF30" i="15" l="1"/>
  <c r="BF31" i="15" l="1"/>
  <c r="BF32" i="15" l="1"/>
  <c r="BF33" i="15" l="1"/>
  <c r="BF34" i="15"/>
</calcChain>
</file>

<file path=xl/sharedStrings.xml><?xml version="1.0" encoding="utf-8"?>
<sst xmlns="http://schemas.openxmlformats.org/spreadsheetml/2006/main" count="2964" uniqueCount="921">
  <si>
    <t>Proprietary. © H. Mathiesen. This material can be used by others free of charge provided that the author H. Mathiesen is attributed and a clickable link is made visible to the location of used material on www.hmexperience.dk</t>
  </si>
  <si>
    <t>Sources to all information used in this spreadsheet can also be found in associated PowerPoint presentation located also at www.hmexperience.dk</t>
  </si>
  <si>
    <t>Material type</t>
  </si>
  <si>
    <t xml:space="preserve">Global production </t>
  </si>
  <si>
    <t>Data year</t>
  </si>
  <si>
    <t>Global 100M BEVs</t>
  </si>
  <si>
    <t>Used parameters</t>
  </si>
  <si>
    <t xml:space="preserve">Tesla 20M BEVs </t>
  </si>
  <si>
    <t>in kg per vehicle</t>
  </si>
  <si>
    <t>in tons</t>
  </si>
  <si>
    <t xml:space="preserve">1 average BEV </t>
  </si>
  <si>
    <t>Tesla vehibles by 2030</t>
  </si>
  <si>
    <t>Global BEV vehibles by 2031?</t>
  </si>
  <si>
    <t>Sources and attribution</t>
  </si>
  <si>
    <t>https://www.mining.com/all-the-mines-tesla-needs-to-build-20-million-cars-a-year/</t>
  </si>
  <si>
    <t>-</t>
  </si>
  <si>
    <t>Ton to kg</t>
  </si>
  <si>
    <t>Other textile and plastic</t>
  </si>
  <si>
    <t>My own estimate</t>
  </si>
  <si>
    <t>https://www.statista.com/statistics/1187186/global-rare-earths-mine-production/</t>
  </si>
  <si>
    <t>year</t>
  </si>
  <si>
    <t xml:space="preserve">Data </t>
  </si>
  <si>
    <t>https://www.mining-technology.com/comment/global-copper-output-grow/</t>
  </si>
  <si>
    <t>https://worldsteel.org/steel-topics/statistics/world-steel-in-figures-2022/</t>
  </si>
  <si>
    <t>global production</t>
  </si>
  <si>
    <t>Total vehicle weight</t>
  </si>
  <si>
    <t xml:space="preserve">One average BEV </t>
  </si>
  <si>
    <t>https://www.mining.com/web/graphite-deficit-starting-this-year-as-demand-for-ev-battery-anode-ingredient-exceeds-supply/#:~:text=Graphite%20is%20thus%20considered%20indispensable,containing%2020%2D30%25%20graphite.</t>
  </si>
  <si>
    <t>https://natural-resources.canada.ca/our-natural-resources/minerals-mining/minerals-metals-facts/graphite-facts/24027</t>
  </si>
  <si>
    <r>
      <rPr>
        <b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 graphite is both mined at 1.1 million tons per year and made synthetically at about 2.2 million tons per year </t>
    </r>
  </si>
  <si>
    <t>Price per kg</t>
  </si>
  <si>
    <t>material in BEV</t>
  </si>
  <si>
    <t xml:space="preserve">Price USD of needed </t>
  </si>
  <si>
    <t xml:space="preserve">Date of </t>
  </si>
  <si>
    <t>price info</t>
  </si>
  <si>
    <t>https://tradingeconomics.com/commodity/nickel</t>
  </si>
  <si>
    <t xml:space="preserve">Price in USD </t>
  </si>
  <si>
    <t xml:space="preserve">per kg </t>
  </si>
  <si>
    <t>https://www.visualcapitalist.com/visualizing-25-years-of-lithium-production-by-country/</t>
  </si>
  <si>
    <r>
      <rPr>
        <b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 this is measured in tons of lithium carbonate equivalent (not all mined lithium is lithium carbonate, today much is mined as spodumene rock that is processed to lithium hydroxide</t>
    </r>
  </si>
  <si>
    <t>https://www.quora.com/How-much-lithium-in-kg-is-used-in-an-electric-car</t>
  </si>
  <si>
    <t>https://tradingeconomics.com/commodity/lithium</t>
  </si>
  <si>
    <t xml:space="preserve">CNY to USD </t>
  </si>
  <si>
    <t>https://moneyexchangerate.org/currencyexchange/cny/usd/</t>
  </si>
  <si>
    <t>https://tradingeconomics.com/commodity/cobalt</t>
  </si>
  <si>
    <t>https://tradingeconomics.com/commodity/copper</t>
  </si>
  <si>
    <t>https://tradingeconomics.com/commodity/manganese</t>
  </si>
  <si>
    <t>https://tradingeconomics.com/commodity/neodymium</t>
  </si>
  <si>
    <t>Note price of neodymium is used because this is the most used metal in magnets</t>
  </si>
  <si>
    <t>https://tradingeconomics.com/commodity/aluminum</t>
  </si>
  <si>
    <t>https://tradingeconomics.com/commodity/steel</t>
  </si>
  <si>
    <t>Crude steel https://kdmfab.com/mild-steel-vs-stainless-steel/</t>
  </si>
  <si>
    <t>My guestimate</t>
  </si>
  <si>
    <t xml:space="preserve">Lithium carbonate or equivalent </t>
  </si>
  <si>
    <t>Total cost</t>
  </si>
  <si>
    <t xml:space="preserve">Price in </t>
  </si>
  <si>
    <t>https://www.alibaba.com/product-detail/High-purity-99-95-nano-graphite_10000000439969.html</t>
  </si>
  <si>
    <t>Battery pack contain 8% copper</t>
  </si>
  <si>
    <t>https://cambridgehouse.com/news/8707/how-evs-will-forever-change-the-copper-landscape#:~:text=Average%20ICEs%20contain%2018%2D49%20pounds%20of%20copper</t>
  </si>
  <si>
    <t>https://www.uetechnologies.com/how-much-does-a-tesla-battery-weigh/</t>
  </si>
  <si>
    <t>Weight of tesla model Y long range in kg</t>
  </si>
  <si>
    <t xml:space="preserve">So copper in kg is </t>
  </si>
  <si>
    <t>Copper used in motor</t>
  </si>
  <si>
    <t>In % of current</t>
  </si>
  <si>
    <t>Where copper is used</t>
  </si>
  <si>
    <t>(new technology applied)</t>
  </si>
  <si>
    <t>All wheel drive vehicles (two motors)</t>
  </si>
  <si>
    <t>Rear wheel drive vehicles (one motor)</t>
  </si>
  <si>
    <t>Current Model 3/Y like BEV</t>
  </si>
  <si>
    <t>Next gen Model 3/Y like BEV</t>
  </si>
  <si>
    <t>Wire harness tech</t>
  </si>
  <si>
    <t>Rear motor  tech</t>
  </si>
  <si>
    <t>Front motor tech</t>
  </si>
  <si>
    <t>Reduction in percentage</t>
  </si>
  <si>
    <t>Wire harness copper in kg</t>
  </si>
  <si>
    <t>Rear motor copper in kg</t>
  </si>
  <si>
    <t>Total copper use in kg</t>
  </si>
  <si>
    <t>12V copper wires</t>
  </si>
  <si>
    <t>48V, partial aluminium wires</t>
  </si>
  <si>
    <t>900V PM no rare earth</t>
  </si>
  <si>
    <t>Front motor copper in kg</t>
  </si>
  <si>
    <t>Battery pack copper in kg</t>
  </si>
  <si>
    <t>400V permanent magnet</t>
  </si>
  <si>
    <t>400V induction motor</t>
  </si>
  <si>
    <t>volt</t>
  </si>
  <si>
    <t>1 kg of lithium carbonate contains about 188.68 g of lithium metal.</t>
  </si>
  <si>
    <t>Source</t>
  </si>
  <si>
    <t>https://www.thoughtco.com/lithium-production-2340123</t>
  </si>
  <si>
    <t>https://www.statista.com/statistics/606684/world-production-of-lithium/?ssp=1&amp;darkschemeovr=1&amp;setlang=en-XL&amp;safesearch=moderate</t>
  </si>
  <si>
    <t>Price of lithium metal is</t>
  </si>
  <si>
    <t>USD</t>
  </si>
  <si>
    <t>Year</t>
  </si>
  <si>
    <t>Production tons</t>
  </si>
  <si>
    <t>Annual growth %</t>
  </si>
  <si>
    <t>Multiplier</t>
  </si>
  <si>
    <t xml:space="preserve">Production </t>
  </si>
  <si>
    <t xml:space="preserve">Argentina </t>
  </si>
  <si>
    <t xml:space="preserve">Australia </t>
  </si>
  <si>
    <t xml:space="preserve">Austria </t>
  </si>
  <si>
    <t xml:space="preserve">Bolivia </t>
  </si>
  <si>
    <t xml:space="preserve">Brazil </t>
  </si>
  <si>
    <t xml:space="preserve">Canada </t>
  </si>
  <si>
    <t xml:space="preserve">Chile </t>
  </si>
  <si>
    <t xml:space="preserve">China </t>
  </si>
  <si>
    <t xml:space="preserve">Czech Republic </t>
  </si>
  <si>
    <t xml:space="preserve">DR Congo </t>
  </si>
  <si>
    <t xml:space="preserve">Finland </t>
  </si>
  <si>
    <t xml:space="preserve">Germany </t>
  </si>
  <si>
    <t xml:space="preserve">Ghana </t>
  </si>
  <si>
    <t xml:space="preserve">India </t>
  </si>
  <si>
    <t xml:space="preserve">Kazakhstan </t>
  </si>
  <si>
    <t xml:space="preserve">Mali </t>
  </si>
  <si>
    <t xml:space="preserve">Mexico </t>
  </si>
  <si>
    <t xml:space="preserve">Namibia </t>
  </si>
  <si>
    <t xml:space="preserve">Peru </t>
  </si>
  <si>
    <t xml:space="preserve">Portugal </t>
  </si>
  <si>
    <t xml:space="preserve">Serbia </t>
  </si>
  <si>
    <t xml:space="preserve">Spain </t>
  </si>
  <si>
    <t xml:space="preserve">United States </t>
  </si>
  <si>
    <t xml:space="preserve">Zimbabwe </t>
  </si>
  <si>
    <t xml:space="preserve">World total </t>
  </si>
  <si>
    <t>Lithium production (2020), reserves and resources in tons</t>
  </si>
  <si>
    <t>Country</t>
  </si>
  <si>
    <t>Resources</t>
  </si>
  <si>
    <t>% of total</t>
  </si>
  <si>
    <t xml:space="preserve">Reserves </t>
  </si>
  <si>
    <t>100M BEVs</t>
  </si>
  <si>
    <t>Raw materials needed to make 100 million BEVs per year if no innovation</t>
  </si>
  <si>
    <t>Price of raw materials needed to make battery electric vehicles</t>
  </si>
  <si>
    <t>Needed growth of lithium production in metal equivalents</t>
  </si>
  <si>
    <t>Iron ore needed 50%</t>
  </si>
  <si>
    <t>https://www.britannica.com/technology/iron-processing/Ores</t>
  </si>
  <si>
    <t>kg to ton</t>
  </si>
  <si>
    <t>Million</t>
  </si>
  <si>
    <t>https://tradingeconomics.com/commodity/iron-ore</t>
  </si>
  <si>
    <t>In % of</t>
  </si>
  <si>
    <t>iron ore</t>
  </si>
  <si>
    <t>https://en.wikipedia.org/wiki/Copper_extraction#Concentration_(beneficiation)</t>
  </si>
  <si>
    <t>Copper ore at 0.6%</t>
  </si>
  <si>
    <t>of which is synthesized graphite</t>
  </si>
  <si>
    <t>of which is mined graphite</t>
  </si>
  <si>
    <t>https://www.ga.gov.au/education/classroom-resources/minerals-energy/australian-mineral-facts/nickel#:~:text=After%20mining%2C%20nickel%20ores%20are%20further%20processed%20to,minerals%20using%20various%20physical%20and%20chemical%20processing%20methods.</t>
  </si>
  <si>
    <t xml:space="preserve">Note graphite is both mined at 1.1 million tons per year and made synthetically at about 2.2 million tons per year </t>
  </si>
  <si>
    <t>Note this is measured in tons of lithium carbonate equivalent (not all mined lithium is lithium carbonate, today much is mined as spodumene rock that is processed to lithium hydroxide</t>
  </si>
  <si>
    <t>https://geology.com/usgs/manganese/</t>
  </si>
  <si>
    <t>https://www.statista.com/statistics/339759/global-cobalt-mine-production/</t>
  </si>
  <si>
    <t>https://www.statista.com/statistics/799538/global-bauxite-production/</t>
  </si>
  <si>
    <t xml:space="preserve">Aluminium content in aluminium ore </t>
  </si>
  <si>
    <t>https://www.kitco.com/news/2023-02-06/Global-nickel-production-up-21-in-2022-as-Indonesian-output-jumps-54.html</t>
  </si>
  <si>
    <t>https://www.iea.org/data-and-statistics/charts/global-coal-production-2018-2021</t>
  </si>
  <si>
    <t>https://tradingeconomics.com/commodity/coal</t>
  </si>
  <si>
    <t>https://www.statista.com/statistics/265229/global-oil-production-in-million-metric-tons/</t>
  </si>
  <si>
    <t>Price of coal Newcastle coal futures in USD/tons</t>
  </si>
  <si>
    <t>Date</t>
  </si>
  <si>
    <t>Price of crude oil WTI crude futures</t>
  </si>
  <si>
    <t>USD/barrel</t>
  </si>
  <si>
    <t>https://tradingeconomics.com/commodity/crude-oil</t>
  </si>
  <si>
    <t>Price</t>
  </si>
  <si>
    <t>USD/kg</t>
  </si>
  <si>
    <t>Global sales</t>
  </si>
  <si>
    <t>million USD</t>
  </si>
  <si>
    <t xml:space="preserve"># of barrels in a ton </t>
  </si>
  <si>
    <t>https://www.linkedin.com/pulse/why-we-say-1-ton-crude-oil-equals-733-barrels-seraph-liu/</t>
  </si>
  <si>
    <t>Parameters</t>
  </si>
  <si>
    <t>https://www.statista.com/statistics/265344/total-global-natural-gas-production-since-1998/</t>
  </si>
  <si>
    <t>Annual global natural gas production in billion cubic meters</t>
  </si>
  <si>
    <t>B/m3</t>
  </si>
  <si>
    <t>Convert 1 billion m3 of natural gas to x barrels of oil equivalent</t>
  </si>
  <si>
    <t>https://www.omnicalculator.com/conversion/natural-gas-converter</t>
  </si>
  <si>
    <t>Production and</t>
  </si>
  <si>
    <t>mining in tons</t>
  </si>
  <si>
    <t>Natural gas price UK GBP in GBp/thm</t>
  </si>
  <si>
    <t>https://tradingeconomics.com/commodity/uk-natural-gas</t>
  </si>
  <si>
    <t>GBp/thm</t>
  </si>
  <si>
    <t>Convert 1 GBp to USD</t>
  </si>
  <si>
    <t>Natural gas price in USD/thm</t>
  </si>
  <si>
    <t>USD/thm</t>
  </si>
  <si>
    <t>https://www.xe.com/currencyconverter/convert/?Amount=1&amp;From=GBP&amp;To=USD</t>
  </si>
  <si>
    <t>Convert 1 barrels of oil equivalent to x thm</t>
  </si>
  <si>
    <t>Express the price of natural gas traded in GBp/thm but in terms of USD/barrel of oil equivalent</t>
  </si>
  <si>
    <t>USD/barrel of oil eqivalent</t>
  </si>
  <si>
    <t>Express the price of natural gas traded in GBp/thm but in terms of USD/kg</t>
  </si>
  <si>
    <t>for 100M BEVs</t>
  </si>
  <si>
    <t>Materials tons</t>
  </si>
  <si>
    <t>https://www.911metallurgist.com/blog/froth-flotation-spodumene-processing-lithium-extraction</t>
  </si>
  <si>
    <t>Note: “how much lithium in percent of Li2O” prompt Bing ai and you get 30% and the exact calculation and 30% of 6% is 2% lithium in spodumene ore</t>
  </si>
  <si>
    <r>
      <t xml:space="preserve">Rare earth </t>
    </r>
    <r>
      <rPr>
        <sz val="11"/>
        <color theme="1"/>
        <rFont val="Calibri"/>
        <family val="2"/>
        <scheme val="minor"/>
      </rPr>
      <t xml:space="preserve">(fx </t>
    </r>
    <r>
      <rPr>
        <b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>, Pr, Dy, Tb)</t>
    </r>
  </si>
  <si>
    <r>
      <t xml:space="preserve">Copper </t>
    </r>
    <r>
      <rPr>
        <sz val="11"/>
        <color theme="1"/>
        <rFont val="Calibri"/>
        <family val="2"/>
        <scheme val="minor"/>
      </rPr>
      <t>(battery, motor, wires)</t>
    </r>
  </si>
  <si>
    <r>
      <t xml:space="preserve">Aluminum </t>
    </r>
    <r>
      <rPr>
        <sz val="11"/>
        <color theme="1"/>
        <rFont val="Calibri"/>
        <family val="2"/>
        <scheme val="minor"/>
      </rPr>
      <t>(vehicle GM Volt))</t>
    </r>
  </si>
  <si>
    <r>
      <t xml:space="preserve">Crude steel </t>
    </r>
    <r>
      <rPr>
        <sz val="11"/>
        <color theme="1"/>
        <rFont val="Calibri"/>
        <family val="2"/>
        <scheme val="minor"/>
      </rPr>
      <t>(98% Fe/Iron)</t>
    </r>
  </si>
  <si>
    <t>https://international-aluminium.org/statistics/primary-aluminium-production/</t>
  </si>
  <si>
    <r>
      <t xml:space="preserve">Coal </t>
    </r>
    <r>
      <rPr>
        <sz val="11"/>
        <color theme="1"/>
        <rFont val="Calibri"/>
        <family val="2"/>
        <scheme val="minor"/>
      </rPr>
      <t>(price is Newcastle Europe)</t>
    </r>
  </si>
  <si>
    <r>
      <t>Oil</t>
    </r>
    <r>
      <rPr>
        <sz val="11"/>
        <color theme="1"/>
        <rFont val="Calibri"/>
        <family val="2"/>
        <scheme val="minor"/>
      </rPr>
      <t xml:space="preserve"> (price is WTI US crude)</t>
    </r>
  </si>
  <si>
    <r>
      <t>Gas</t>
    </r>
    <r>
      <rPr>
        <sz val="11"/>
        <color theme="1"/>
        <rFont val="Calibri"/>
        <family val="2"/>
        <scheme val="minor"/>
      </rPr>
      <t xml:space="preserve"> (price is UK natural gas)</t>
    </r>
  </si>
  <si>
    <t>Indonesia</t>
  </si>
  <si>
    <t>https://www.statista.com/statistics/273634/nickel-reserves-worldwide-by-country/</t>
  </si>
  <si>
    <t>Russia</t>
  </si>
  <si>
    <t>New Caledonia</t>
  </si>
  <si>
    <t>Other countries</t>
  </si>
  <si>
    <t>Source for nickel production:</t>
  </si>
  <si>
    <t>https://investingnews.com/daily/resource-investing/base-metals-investing/nickel-investing/top-nickel-producing-countries/</t>
  </si>
  <si>
    <t>https://www.universaltradingscri.com/top-9-nickel-producing-countries-updated-2022/</t>
  </si>
  <si>
    <t>Source for global nickel production in 2022</t>
  </si>
  <si>
    <t>Nickel production and reserves in tons in 2022/2021</t>
  </si>
  <si>
    <t>First Use</t>
  </si>
  <si>
    <t>Percentage</t>
  </si>
  <si>
    <t>Stainless Steel</t>
  </si>
  <si>
    <t>Batteries</t>
  </si>
  <si>
    <t>Non-Ferrous Alloys</t>
  </si>
  <si>
    <t>Plating</t>
  </si>
  <si>
    <t>Alloy Steels</t>
  </si>
  <si>
    <t>Foundry</t>
  </si>
  <si>
    <t>Other</t>
  </si>
  <si>
    <t xml:space="preserve">Source: </t>
  </si>
  <si>
    <t>https://nickelinstitute.org/en/about-nickel-and-its-applications/#04-first-use-nickel</t>
  </si>
  <si>
    <t>Total</t>
  </si>
  <si>
    <t>Consumption of nickel first use in 2021</t>
  </si>
  <si>
    <t>https://www.youtube.com/watch?v=l6T9xIeZTds&amp;t=4628s</t>
  </si>
  <si>
    <t>Timestamp: 1:18:11</t>
  </si>
  <si>
    <t>Cobalt ore at 0.2%</t>
  </si>
  <si>
    <t xml:space="preserve">Magnesium Mg </t>
  </si>
  <si>
    <t xml:space="preserve">Turkey </t>
  </si>
  <si>
    <t xml:space="preserve">Russia </t>
  </si>
  <si>
    <t xml:space="preserve">Greece </t>
  </si>
  <si>
    <t xml:space="preserve">Slovakia </t>
  </si>
  <si>
    <t xml:space="preserve">Iran </t>
  </si>
  <si>
    <t xml:space="preserve">Rest of the world </t>
  </si>
  <si>
    <t>Global magnesite mine production in tons in 2022</t>
  </si>
  <si>
    <t>Global production</t>
  </si>
  <si>
    <t>China</t>
  </si>
  <si>
    <t>Israel</t>
  </si>
  <si>
    <t>Iran</t>
  </si>
  <si>
    <t>Ukraine</t>
  </si>
  <si>
    <t>Brazil</t>
  </si>
  <si>
    <t>Turkey</t>
  </si>
  <si>
    <t>South Korea</t>
  </si>
  <si>
    <t>https://en.wikipedia.org/wiki/List_of_countries_by_magnesium_production</t>
  </si>
  <si>
    <t>Source for 1 million ton production in 2022</t>
  </si>
  <si>
    <t>https://www.statista.com/statistics/569515/primary-magnesium-production-worldwide/</t>
  </si>
  <si>
    <t>https://www.statista.com/statistics/264954/world-magnesium-production/</t>
  </si>
  <si>
    <t>https://www.intlmag.org/general/custom.asp?page=app_automotive_ima</t>
  </si>
  <si>
    <r>
      <t>Magnesium</t>
    </r>
    <r>
      <rPr>
        <sz val="11"/>
        <color theme="1"/>
        <rFont val="Calibri"/>
        <family val="2"/>
        <scheme val="minor"/>
      </rPr>
      <t xml:space="preserve"> (VW Beetle)</t>
    </r>
  </si>
  <si>
    <t>https://tradingeconomics.com/commodity/magnesium</t>
  </si>
  <si>
    <t>https://stockhouse.com/news/newswire/2015/05/19/how-much-copper-and-zinc-average-vehicle</t>
  </si>
  <si>
    <t>https://www.statista.com/statistics/264878/world-production-of-zinc-metal/</t>
  </si>
  <si>
    <r>
      <t>Zinc</t>
    </r>
    <r>
      <rPr>
        <sz val="11"/>
        <color theme="1"/>
        <rFont val="Calibri"/>
        <family val="2"/>
        <scheme val="minor"/>
      </rPr>
      <t xml:space="preserve"> (rust protection battery etc)</t>
    </r>
  </si>
  <si>
    <t>Zinc ore at 5%</t>
  </si>
  <si>
    <t>https://www.britannica.com/technology/zinc-processing/Ores</t>
  </si>
  <si>
    <t>Price in USD</t>
  </si>
  <si>
    <t>https://chem.libretexts.org/Ancillary_Materials/Laboratory_Experiments/Wet_Lab_Experiments/Analytical_Chemistry_Labs/Determination_of_the_Mn_Content_of_Steel</t>
  </si>
  <si>
    <r>
      <t>Manganese</t>
    </r>
    <r>
      <rPr>
        <sz val="11"/>
        <color theme="1"/>
        <rFont val="Calibri"/>
        <family val="2"/>
        <scheme val="minor"/>
      </rPr>
      <t xml:space="preserve"> (batteries, steel 1%)</t>
    </r>
  </si>
  <si>
    <t>Nickel ore at 1.2%</t>
  </si>
  <si>
    <t>Lithium ore at 0.7%</t>
  </si>
  <si>
    <t>2nd source</t>
  </si>
  <si>
    <t>ore %</t>
  </si>
  <si>
    <t xml:space="preserve">Magnesium ore at 3.86% </t>
  </si>
  <si>
    <t>magnesite</t>
  </si>
  <si>
    <t xml:space="preserve">Tesla at battery day say 20% of their nickel rich battery cells is nickel </t>
  </si>
  <si>
    <t>See notes below</t>
  </si>
  <si>
    <t>Timestamp 1:18:11</t>
  </si>
  <si>
    <t>https://themotordigest.com/how-much-do-tesla-batteries-weigh/</t>
  </si>
  <si>
    <t>Tesla 2170 cell weight 70 grams</t>
  </si>
  <si>
    <t>https://cleantechnica.com/2019/01/28/tesla-model-3-battery-pack-cell-teardown-highlights-performance-improvements/</t>
  </si>
  <si>
    <t>Calculate the kg of nickel used in a Tesla model Y long range</t>
  </si>
  <si>
    <t>kg</t>
  </si>
  <si>
    <t>Calculate the kg of lithium used in a Tesla model Y long range</t>
  </si>
  <si>
    <t>Tesla at battery day say 2% of their nickel rich battery cells is cobalt</t>
  </si>
  <si>
    <t>Calculate the kg of cobalt used in a Tesla model Y long range</t>
  </si>
  <si>
    <t>tons</t>
  </si>
  <si>
    <t>CYN tons</t>
  </si>
  <si>
    <t xml:space="preserve">NMC811 </t>
  </si>
  <si>
    <t xml:space="preserve">NMC523 </t>
  </si>
  <si>
    <t xml:space="preserve">NMC622 </t>
  </si>
  <si>
    <t xml:space="preserve">LFP </t>
  </si>
  <si>
    <t xml:space="preserve">Nickel Cobalt </t>
  </si>
  <si>
    <t xml:space="preserve">Lithium iron </t>
  </si>
  <si>
    <t xml:space="preserve">phosphate </t>
  </si>
  <si>
    <t xml:space="preserve">Oxide </t>
  </si>
  <si>
    <t>https://elements.visualcapitalist.com/the-key-minerals-in-an-ev-battery/</t>
  </si>
  <si>
    <t>Nickel 80%</t>
  </si>
  <si>
    <t>The name of the battery chemistry typically indicates the composition of the cathode</t>
  </si>
  <si>
    <t>Manganese 10%</t>
  </si>
  <si>
    <t>Cobalt 10%</t>
  </si>
  <si>
    <t>Nickel 50%</t>
  </si>
  <si>
    <t>Manganese 20%</t>
  </si>
  <si>
    <t>Cobalt 30%</t>
  </si>
  <si>
    <t>Nickel 60%</t>
  </si>
  <si>
    <t>Cobalt 20%</t>
  </si>
  <si>
    <t>NCA</t>
  </si>
  <si>
    <t>All data collected for 60 kWh of battery cells</t>
  </si>
  <si>
    <t>in kg</t>
  </si>
  <si>
    <t xml:space="preserve">Raw material use </t>
  </si>
  <si>
    <t>Total weight in kg</t>
  </si>
  <si>
    <t>Wh/kg</t>
  </si>
  <si>
    <t>Function of</t>
  </si>
  <si>
    <t xml:space="preserve">raw material </t>
  </si>
  <si>
    <t>in battery cell</t>
  </si>
  <si>
    <t>cathode</t>
  </si>
  <si>
    <t>cell casing</t>
  </si>
  <si>
    <t xml:space="preserve">In pct of </t>
  </si>
  <si>
    <t>total</t>
  </si>
  <si>
    <t>weight</t>
  </si>
  <si>
    <t>Lithium Li</t>
  </si>
  <si>
    <t>Cobalt Co</t>
  </si>
  <si>
    <t>Nickel Ni</t>
  </si>
  <si>
    <t>Iron Fe</t>
  </si>
  <si>
    <t>Aluminium Al</t>
  </si>
  <si>
    <t>Copper Cu</t>
  </si>
  <si>
    <t>Steel Fe 98%</t>
  </si>
  <si>
    <t>Tesla battery</t>
  </si>
  <si>
    <t>Sources</t>
  </si>
  <si>
    <t>Fe not used in NCA batteries</t>
  </si>
  <si>
    <r>
      <t>Manganese</t>
    </r>
    <r>
      <rPr>
        <sz val="11"/>
        <color theme="1"/>
        <rFont val="Calibri"/>
        <family val="2"/>
        <scheme val="minor"/>
      </rPr>
      <t xml:space="preserve"> (batteries, steel alloy)</t>
    </r>
  </si>
  <si>
    <t>Weight of battery cells only in model Y long range battery pack</t>
  </si>
  <si>
    <t>kWh</t>
  </si>
  <si>
    <t>Follow link</t>
  </si>
  <si>
    <t>Plastics textile &amp; other</t>
  </si>
  <si>
    <t>Wh/kg of Tesla 2170 battery cells</t>
  </si>
  <si>
    <t>https://www.notebookcheck.net/Tesla-4680-vs-2170-battery-cell-test-reveals-lower-energy-density-in-the-Texas-made-Model-Y.669162.0.html</t>
  </si>
  <si>
    <t>Implied kWh in a Model Y long range battery pack</t>
  </si>
  <si>
    <t xml:space="preserve">Nickel use in BEV battery Tesla Model Y long range </t>
  </si>
  <si>
    <t xml:space="preserve">Lithium use in BEV battery Tesla Model Y long range </t>
  </si>
  <si>
    <t xml:space="preserve">Cobalt use in BEV battery Tesla Model Y long range </t>
  </si>
  <si>
    <r>
      <t>Graphite</t>
    </r>
    <r>
      <rPr>
        <sz val="11"/>
        <color theme="1"/>
        <rFont val="Calibri"/>
        <family val="2"/>
        <scheme val="minor"/>
      </rPr>
      <t xml:space="preserve"> battery cells 19% 83kWh</t>
    </r>
  </si>
  <si>
    <r>
      <t>Lithium</t>
    </r>
    <r>
      <rPr>
        <sz val="11"/>
        <color theme="1"/>
        <rFont val="Calibri"/>
        <family val="2"/>
        <scheme val="minor"/>
      </rPr>
      <t xml:space="preserve"> battery cells 2.7% 83kWh</t>
    </r>
  </si>
  <si>
    <r>
      <t xml:space="preserve">Cobalt </t>
    </r>
    <r>
      <rPr>
        <sz val="11"/>
        <color theme="1"/>
        <rFont val="Calibri"/>
        <family val="2"/>
        <scheme val="minor"/>
      </rPr>
      <t>in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battery cells 2%, 83kWh</t>
    </r>
  </si>
  <si>
    <r>
      <t xml:space="preserve">Nickel </t>
    </r>
    <r>
      <rPr>
        <sz val="11"/>
        <color theme="1"/>
        <rFont val="Calibri"/>
        <family val="2"/>
        <scheme val="minor"/>
      </rPr>
      <t>battery cells 20% 83kWh</t>
    </r>
  </si>
  <si>
    <r>
      <t xml:space="preserve">Nickel </t>
    </r>
    <r>
      <rPr>
        <sz val="11"/>
        <color theme="1"/>
        <rFont val="Calibri"/>
        <family val="2"/>
        <scheme val="minor"/>
      </rPr>
      <t>in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battery cells 20% 83kWh</t>
    </r>
  </si>
  <si>
    <t>Scale of global raw materials industry by size in tons and USD sales</t>
  </si>
  <si>
    <t>Application</t>
  </si>
  <si>
    <t>https://www.statista.com/statistics/1143399/global-cobalt-consumption-distribution-by-application/</t>
  </si>
  <si>
    <t>Nickel-based alloys</t>
  </si>
  <si>
    <t>Tool materials</t>
  </si>
  <si>
    <t>Pigments</t>
  </si>
  <si>
    <t>Catalysts</t>
  </si>
  <si>
    <t>Magnets</t>
  </si>
  <si>
    <t>Soap &amp; dryers</t>
  </si>
  <si>
    <t>Others</t>
  </si>
  <si>
    <t>Consumption of cobalt in 2020</t>
  </si>
  <si>
    <t>https://www.statista.com/statistics/264928/cobalt-mine-production-by-country/</t>
  </si>
  <si>
    <t xml:space="preserve">Indonesia </t>
  </si>
  <si>
    <t xml:space="preserve">Cuba </t>
  </si>
  <si>
    <t xml:space="preserve">Philippines </t>
  </si>
  <si>
    <t xml:space="preserve">Madagascar </t>
  </si>
  <si>
    <t xml:space="preserve">Papua New Guinea </t>
  </si>
  <si>
    <t xml:space="preserve">Morocco </t>
  </si>
  <si>
    <t>Cobalt mine production and reserves in tons in 2022</t>
  </si>
  <si>
    <t>Risky countries</t>
  </si>
  <si>
    <t>Source 1</t>
  </si>
  <si>
    <t>https://www.statista.com/statistics/264930/global-cobalt-reserves/</t>
  </si>
  <si>
    <t xml:space="preserve">Cobalt reserves by country 2022: </t>
  </si>
  <si>
    <t>Cobalt production by country 2022:</t>
  </si>
  <si>
    <t>Global cobalt production 2022:</t>
  </si>
  <si>
    <t>Nickel</t>
  </si>
  <si>
    <t>Lithium</t>
  </si>
  <si>
    <t>Cobalt</t>
  </si>
  <si>
    <t>Copper</t>
  </si>
  <si>
    <t>Manganese</t>
  </si>
  <si>
    <t>Price USD/kg</t>
  </si>
  <si>
    <t>Deep sea Co</t>
  </si>
  <si>
    <t>Deep sea Ma</t>
  </si>
  <si>
    <t>USD/ton</t>
  </si>
  <si>
    <t>Value of different sources of mining ore</t>
  </si>
  <si>
    <t>USD/Ton</t>
  </si>
  <si>
    <t>Typical ore</t>
  </si>
  <si>
    <t>Tesla bat. cell</t>
  </si>
  <si>
    <t>See link</t>
  </si>
  <si>
    <t>Note we cant sum the values up as mining come from different kinds of ore that may only have the element in mind in any important quantity</t>
  </si>
  <si>
    <t>https://worldoceanreview.com/en/wor-3/mineral-resources/cobalt-crusts/?ssp=1&amp;darkschemeovr=1&amp;setlang=en-XL&amp;safesearch=moderate</t>
  </si>
  <si>
    <t>Ore type</t>
  </si>
  <si>
    <t>Element</t>
  </si>
  <si>
    <t>Other stuff</t>
  </si>
  <si>
    <t>Tons mined</t>
  </si>
  <si>
    <t xml:space="preserve">Need for 1 </t>
  </si>
  <si>
    <t>BEV in kg</t>
  </si>
  <si>
    <t>in millions</t>
  </si>
  <si>
    <t>Iron</t>
  </si>
  <si>
    <t>Iron/steel</t>
  </si>
  <si>
    <t>Current</t>
  </si>
  <si>
    <t>billion USD</t>
  </si>
  <si>
    <t>Value mined</t>
  </si>
  <si>
    <t>Future</t>
  </si>
  <si>
    <t>Price parameters</t>
  </si>
  <si>
    <t>Future val.</t>
  </si>
  <si>
    <t>USD per ton of ore</t>
  </si>
  <si>
    <t>South Africa</t>
  </si>
  <si>
    <t>Australia</t>
  </si>
  <si>
    <t>India</t>
  </si>
  <si>
    <t>Gabon</t>
  </si>
  <si>
    <t>Ghana</t>
  </si>
  <si>
    <t>Kazakhstan</t>
  </si>
  <si>
    <t>Mexico</t>
  </si>
  <si>
    <t>https://investingnews.com/daily/resource-investing/battery-metals-investing/manganese-investing/manganese-reserves/</t>
  </si>
  <si>
    <t>Sources for manganese reserves top 10 in 2016</t>
  </si>
  <si>
    <t>https://www.statista.com/statistics/247609/world-manganese-reserves/</t>
  </si>
  <si>
    <t xml:space="preserve">Growth in manganese reserves from 2010 to 2022 </t>
  </si>
  <si>
    <t>Production in million tons metal</t>
  </si>
  <si>
    <t>Reserves in million tons metal</t>
  </si>
  <si>
    <t>Myanmar</t>
  </si>
  <si>
    <t>Manganese production and reserves in 2015</t>
  </si>
  <si>
    <t>https://en.wikipedia.org/wiki/List_of_countries_by_manganese_production</t>
  </si>
  <si>
    <t>Global reserves of manganese ore 1.7 billion tons in 2022</t>
  </si>
  <si>
    <t>Global production of manganese metal in 2015</t>
  </si>
  <si>
    <t>Best source by far for production and reserves in 2022</t>
  </si>
  <si>
    <t>https://pubs.usgs.gov/periodicals/mcs2023/mcs2023-manganese.pdf</t>
  </si>
  <si>
    <t xml:space="preserve">Burma </t>
  </si>
  <si>
    <t>ΝΑ</t>
  </si>
  <si>
    <t xml:space="preserve">Côte d'Ivoire </t>
  </si>
  <si>
    <t xml:space="preserve">Gabon </t>
  </si>
  <si>
    <t xml:space="preserve">Georgia </t>
  </si>
  <si>
    <t xml:space="preserve">Kazakhstan ,concentrate </t>
  </si>
  <si>
    <t xml:space="preserve">Malaysia </t>
  </si>
  <si>
    <t xml:space="preserve">South Africa </t>
  </si>
  <si>
    <t xml:space="preserve">Ukraine ,concentrate </t>
  </si>
  <si>
    <t xml:space="preserve">Vietnam </t>
  </si>
  <si>
    <t xml:space="preserve">Other countries </t>
  </si>
  <si>
    <t xml:space="preserve">Small </t>
  </si>
  <si>
    <t>World total (rounded )</t>
  </si>
  <si>
    <t>Manganese production and reserves in 2022</t>
  </si>
  <si>
    <t xml:space="preserve">Production in </t>
  </si>
  <si>
    <t xml:space="preserve">Reserves in </t>
  </si>
  <si>
    <t>In %</t>
  </si>
  <si>
    <t xml:space="preserve">How many BEVs if all land based reserves was used </t>
  </si>
  <si>
    <t>Cobal reserves deep sea is 94 million tons</t>
  </si>
  <si>
    <t xml:space="preserve">How many BEVs if all deep sea based reserves was used </t>
  </si>
  <si>
    <t>Sodium-ion</t>
  </si>
  <si>
    <t>Na-ion/</t>
  </si>
  <si>
    <t>Natrium Na/ Sodium</t>
  </si>
  <si>
    <t xml:space="preserve">Aluminium </t>
  </si>
  <si>
    <t>https://onlinelibrary.wiley.com/doi/full/10.1002/aenm.202000093</t>
  </si>
  <si>
    <t>Sodium carbonate for Na-ion cells</t>
  </si>
  <si>
    <t>https://www.indexbox.io/blog/sodium-carbonate-price-per-ton-in-august-2022/#:~:text=In%20August%202022%2C%20the%20sodium%20carbonate%20price%20per,in%20February%202022%20an%20increase%20of%2015%25%20m-o-m.</t>
  </si>
  <si>
    <t>https://insideevs.com/news/523413/catl-unveils-sodium-ion-battery/</t>
  </si>
  <si>
    <t>Na replaces Li</t>
  </si>
  <si>
    <t>https://www.youtube.com/watch?v=e_kBxp-kLX0&amp;t=402s</t>
  </si>
  <si>
    <t>Timestamp: 6:30</t>
  </si>
  <si>
    <t>Lithium Li metal wgt</t>
  </si>
  <si>
    <t>Graphite C, Li-ion</t>
  </si>
  <si>
    <t>Hard carbon C, Na-ion</t>
  </si>
  <si>
    <t>Timestamp: 6:25</t>
  </si>
  <si>
    <t>Calculated</t>
  </si>
  <si>
    <t>Timestamp: 2:10</t>
  </si>
  <si>
    <t>Timestamp: 2:10 the 20% is taken from the typical % used of graphite in Li-ion battery</t>
  </si>
  <si>
    <t>control</t>
  </si>
  <si>
    <t>Not used in example BEV</t>
  </si>
  <si>
    <t>https://www.sciencedirect.com/science/article/pii/S2352152X22019521</t>
  </si>
  <si>
    <r>
      <t xml:space="preserve">Sodium carbonate </t>
    </r>
    <r>
      <rPr>
        <sz val="11"/>
        <color theme="1"/>
        <rFont val="Calibri"/>
        <family val="2"/>
        <scheme val="minor"/>
      </rPr>
      <t xml:space="preserve">for Na-ion </t>
    </r>
  </si>
  <si>
    <t>https://www.takomabattery.com/catl-sodium-ion-battery/?ssp=1&amp;darkschemeovr=1&amp;setlang=en-XL&amp;safesearch=moderate</t>
  </si>
  <si>
    <t xml:space="preserve">Other sources: </t>
  </si>
  <si>
    <t>Above source suggest Sodium ion cells can be made in mass production at 65% of the cost of Li-ion cells per kWh</t>
  </si>
  <si>
    <t>Price of Prussian blue 4 USD per kg</t>
  </si>
  <si>
    <t>https://www.alibaba.com/product-detail/prussian-blue-pigment-pigment-blue-powder_60284676577.html?spm=a2700.7724857.0.0.4a8a5bfcL8ziDf</t>
  </si>
  <si>
    <t>Chemical formula for Prussian blue Fe7(CN)18</t>
  </si>
  <si>
    <t>https://en.wikipedia.org/wiki/Prussian_blue</t>
  </si>
  <si>
    <t>LiFePO4</t>
  </si>
  <si>
    <t>Plastics/other C,H,O, N, P, F</t>
  </si>
  <si>
    <t>Steel Fe 98%, Ma 1%</t>
  </si>
  <si>
    <t>https://www.indexbox.io/blog/graphite-price-per-ton-may-2022/</t>
  </si>
  <si>
    <r>
      <t>Graphite</t>
    </r>
    <r>
      <rPr>
        <sz val="11"/>
        <color theme="1"/>
        <rFont val="Calibri"/>
        <family val="2"/>
        <scheme val="minor"/>
      </rPr>
      <t xml:space="preserve"> (Li-ion cells 19% 83kWh)</t>
    </r>
  </si>
  <si>
    <r>
      <t xml:space="preserve">Hard carbon </t>
    </r>
    <r>
      <rPr>
        <sz val="11"/>
        <color theme="1"/>
        <rFont val="Calibri"/>
        <family val="2"/>
        <scheme val="minor"/>
      </rPr>
      <t>(Na-ion cells, anode)</t>
    </r>
  </si>
  <si>
    <r>
      <t>Lithium carbonate</t>
    </r>
    <r>
      <rPr>
        <sz val="11"/>
        <color theme="1"/>
        <rFont val="Calibri"/>
        <family val="2"/>
        <scheme val="minor"/>
      </rPr>
      <t xml:space="preserve"> or equivalent </t>
    </r>
  </si>
  <si>
    <r>
      <t xml:space="preserve">Lithium carbonate </t>
    </r>
    <r>
      <rPr>
        <sz val="11"/>
        <color theme="1"/>
        <rFont val="Calibri"/>
        <family val="2"/>
        <scheme val="minor"/>
      </rPr>
      <t xml:space="preserve">or equivalent </t>
    </r>
  </si>
  <si>
    <t># of BEVs</t>
  </si>
  <si>
    <r>
      <t xml:space="preserve">Sources: </t>
    </r>
    <r>
      <rPr>
        <sz val="11"/>
        <color theme="1"/>
        <rFont val="Calibri"/>
        <family val="2"/>
        <scheme val="minor"/>
      </rPr>
      <t>Follow link below video to download spreadsheet containing clickable sources</t>
    </r>
  </si>
  <si>
    <r>
      <t xml:space="preserve">Aluminium </t>
    </r>
    <r>
      <rPr>
        <sz val="11"/>
        <color theme="1"/>
        <rFont val="Calibri"/>
        <family val="2"/>
        <scheme val="minor"/>
      </rPr>
      <t>(vehicle GM Volt))</t>
    </r>
  </si>
  <si>
    <t>Tesla vehicles by 2030</t>
  </si>
  <si>
    <t>Global BEV vehicles by 2031?</t>
  </si>
  <si>
    <t>Aluminium ore Bauxite at 18%</t>
  </si>
  <si>
    <t>Copper use in typical battery electric vehicle current and next generation</t>
  </si>
  <si>
    <t>Reduction in copper use for motors</t>
  </si>
  <si>
    <t>Philippines</t>
  </si>
  <si>
    <r>
      <t xml:space="preserve">Sources: </t>
    </r>
    <r>
      <rPr>
        <sz val="9"/>
        <color theme="1"/>
        <rFont val="Calibri"/>
        <family val="2"/>
        <scheme val="minor"/>
      </rPr>
      <t>Follow link below video to download spreadsheet containing clickable sources</t>
    </r>
  </si>
  <si>
    <t>Malaysia</t>
  </si>
  <si>
    <t>quality</t>
  </si>
  <si>
    <t>Ore/nodule</t>
  </si>
  <si>
    <t>Mining 309 million tons of manganese nodules</t>
  </si>
  <si>
    <t>https://tradingeconomics.com/commodity/zinc</t>
  </si>
  <si>
    <t xml:space="preserve">Elements </t>
  </si>
  <si>
    <t xml:space="preserve">Cobalt crusts in the </t>
  </si>
  <si>
    <t xml:space="preserve">Global reserves on </t>
  </si>
  <si>
    <t xml:space="preserve">Global reserves and </t>
  </si>
  <si>
    <t xml:space="preserve">Manganese nodules </t>
  </si>
  <si>
    <t xml:space="preserve">Prime Crust Zone </t>
  </si>
  <si>
    <t xml:space="preserve">land (economically </t>
  </si>
  <si>
    <t xml:space="preserve">resources on land </t>
  </si>
  <si>
    <t xml:space="preserve">in the Clarion -Clip </t>
  </si>
  <si>
    <t>(PCZ )</t>
  </si>
  <si>
    <t xml:space="preserve">minable deposits </t>
  </si>
  <si>
    <t xml:space="preserve">(economically minable </t>
  </si>
  <si>
    <t xml:space="preserve">perton Zone </t>
  </si>
  <si>
    <t>today )</t>
  </si>
  <si>
    <t>Manganese (Mn )</t>
  </si>
  <si>
    <t>Copper (Cu )</t>
  </si>
  <si>
    <t>Titanium (Ti )</t>
  </si>
  <si>
    <t xml:space="preserve">Rare earth oxides </t>
  </si>
  <si>
    <t>Nickel (Ni )</t>
  </si>
  <si>
    <t>Vanadium (V )</t>
  </si>
  <si>
    <t>Molybdenum (Mo )</t>
  </si>
  <si>
    <t>Lithium (Li )</t>
  </si>
  <si>
    <t>Cobalt (Co )</t>
  </si>
  <si>
    <t>Tungsten (W )</t>
  </si>
  <si>
    <t>Niobium (Nb )</t>
  </si>
  <si>
    <t>Arsenic (As )</t>
  </si>
  <si>
    <t>Thorium (Th )</t>
  </si>
  <si>
    <t>Bismuth (Bi )</t>
  </si>
  <si>
    <t>Yttrium (Y )</t>
  </si>
  <si>
    <t xml:space="preserve">Platinum group </t>
  </si>
  <si>
    <t>Tellurium (Te )</t>
  </si>
  <si>
    <t>Thallium (TI )</t>
  </si>
  <si>
    <t xml:space="preserve">(metal contents in </t>
  </si>
  <si>
    <t>million of tons)</t>
  </si>
  <si>
    <t>Other elements</t>
  </si>
  <si>
    <t>Ore grade</t>
  </si>
  <si>
    <t>Lead</t>
  </si>
  <si>
    <t>Zink</t>
  </si>
  <si>
    <t>Cobalt c.</t>
  </si>
  <si>
    <t>nodules</t>
  </si>
  <si>
    <t>CCZ</t>
  </si>
  <si>
    <t>PCZ</t>
  </si>
  <si>
    <t>Source main</t>
  </si>
  <si>
    <t>https://worldoceanreview.com/en/wor-3/mineral-resources/manganese-nodules/</t>
  </si>
  <si>
    <t>Global</t>
  </si>
  <si>
    <t>land</t>
  </si>
  <si>
    <t>production</t>
  </si>
  <si>
    <t xml:space="preserve">Typical </t>
  </si>
  <si>
    <t xml:space="preserve">ore </t>
  </si>
  <si>
    <t xml:space="preserve">grade </t>
  </si>
  <si>
    <t>Data date 2014</t>
  </si>
  <si>
    <t>Data date</t>
  </si>
  <si>
    <t xml:space="preserve">land </t>
  </si>
  <si>
    <t>Li carbonate equivalent</t>
  </si>
  <si>
    <t>thousands tons metal</t>
  </si>
  <si>
    <t>annual</t>
  </si>
  <si>
    <t>reserves/</t>
  </si>
  <si>
    <t>resources</t>
  </si>
  <si>
    <t>2022/2014</t>
  </si>
  <si>
    <t>Global mining reserves/production land and deep sea</t>
  </si>
  <si>
    <t>Manganese ore land</t>
  </si>
  <si>
    <t>Cost of mining and transport per ton</t>
  </si>
  <si>
    <t>Cost of mining and transport per kg</t>
  </si>
  <si>
    <t xml:space="preserve">Estimated </t>
  </si>
  <si>
    <t>its mining ore</t>
  </si>
  <si>
    <t>million tons</t>
  </si>
  <si>
    <t xml:space="preserve">Cost to mine 1 ton plus profit in USD </t>
  </si>
  <si>
    <t>Cost of just mining kg/USD to local production</t>
  </si>
  <si>
    <t xml:space="preserve"> lbs to kg</t>
  </si>
  <si>
    <t>Copper ore land</t>
  </si>
  <si>
    <t>Iron (Fe)/crude steel</t>
  </si>
  <si>
    <t>million USD for</t>
  </si>
  <si>
    <t>for element or</t>
  </si>
  <si>
    <t>revenue in</t>
  </si>
  <si>
    <t>https://tradingeconomics.com/commodity/titanium</t>
  </si>
  <si>
    <t>Titanium ore (FeTiO3)</t>
  </si>
  <si>
    <t>https://www.statista.com/statistics/1233840/mine-production-titanium-minerals-worldwide-by-type/</t>
  </si>
  <si>
    <t>A really bad estimate of the value of global rath earth business. I have used price of refined neodymium and multiplied with tons of rare earth ore</t>
  </si>
  <si>
    <t>Nickel ore</t>
  </si>
  <si>
    <t xml:space="preserve">data </t>
  </si>
  <si>
    <t>date</t>
  </si>
  <si>
    <t>https://www.statista.com/statistics/1312474/vanadium-production-volume-worldwide/</t>
  </si>
  <si>
    <t>controlling</t>
  </si>
  <si>
    <t>refinery</t>
  </si>
  <si>
    <t>https://www.usgs.gov/publications/vanadium</t>
  </si>
  <si>
    <t>https://tradingeconomics.com/commodity/molybden</t>
  </si>
  <si>
    <t>https://www.statista.com/statistics/598363/global-mine-production-of-molybdenum/</t>
  </si>
  <si>
    <t>Multi</t>
  </si>
  <si>
    <t>https://investingnews.com/daily/resource-investing/industrial-metals-investing/molybdenum-investing/world-class-molybdenum-deposits/</t>
  </si>
  <si>
    <t>Lithium ore</t>
  </si>
  <si>
    <t>https://en.wikipedia.org/wiki/Lithium#Production</t>
  </si>
  <si>
    <r>
      <t xml:space="preserve">Sources: </t>
    </r>
    <r>
      <rPr>
        <sz val="10"/>
        <color theme="1"/>
        <rFont val="Calibri"/>
        <family val="2"/>
        <scheme val="minor"/>
      </rPr>
      <t>Follow link below video to download spreadsheet containing clickable sources</t>
    </r>
  </si>
  <si>
    <t>2020/2020</t>
  </si>
  <si>
    <t>calc</t>
  </si>
  <si>
    <t>Cobalt ore</t>
  </si>
  <si>
    <t>Total material deep sea</t>
  </si>
  <si>
    <t>Aluminium</t>
  </si>
  <si>
    <t>Magnesium</t>
  </si>
  <si>
    <t>Magnesium ore</t>
  </si>
  <si>
    <t>NA</t>
  </si>
  <si>
    <t>Iron ore</t>
  </si>
  <si>
    <t>Iron ore needed at 55%</t>
  </si>
  <si>
    <t>https://www.statista.com/statistics/1168572/global-reserves-of-iron-ore/</t>
  </si>
  <si>
    <t>https://www.statista.com/statistics/1156095/global-lead-reserves/</t>
  </si>
  <si>
    <t>https://www.statista.com/statistics/273639/global-zinc-reserves-by-country/</t>
  </si>
  <si>
    <t>Lead (Pb)</t>
  </si>
  <si>
    <t>Aluminium (Al)</t>
  </si>
  <si>
    <t>Zink (Zn)</t>
  </si>
  <si>
    <t>Magnesium (Mg)</t>
  </si>
  <si>
    <t>https://www.statista.com/statistics/271671/countries-with-largest-bauxite-reserves/</t>
  </si>
  <si>
    <t>Aluminium ore (bauxite)</t>
  </si>
  <si>
    <t>Thousands of tons</t>
  </si>
  <si>
    <t>Global magnesium production in 2018</t>
  </si>
  <si>
    <t>Reserves</t>
  </si>
  <si>
    <t>USA</t>
  </si>
  <si>
    <t>Source reserves</t>
  </si>
  <si>
    <t>https://www.statista.com/statistics/264953/global-reserves-of-magnesium-by-major-countries/</t>
  </si>
  <si>
    <t>Source production:</t>
  </si>
  <si>
    <t>https://www.statista.com/statistics/264964/production-of-bauxite/</t>
  </si>
  <si>
    <t>https://www.statista.com/statistics/264871/production-of-lead-worldwide/</t>
  </si>
  <si>
    <t>https://tradingeconomics.com/commodity/lead</t>
  </si>
  <si>
    <t>https://www.statista.com/statistics/264632/lead-mine-production-by-country/</t>
  </si>
  <si>
    <t>https://www.statista.com/statistics/264634/zinc-production-by-country/</t>
  </si>
  <si>
    <t>https://www.statista.com/statistics/265450/global-proved-reserves-of-coal/</t>
  </si>
  <si>
    <t>https://www.opec.org/opec_web/en/data_graphs/330.htm</t>
  </si>
  <si>
    <t>oil reserves</t>
  </si>
  <si>
    <t>billion barrels</t>
  </si>
  <si>
    <t>https://www.worldometers.info/gas/</t>
  </si>
  <si>
    <t>NG reserves in million barrels of oil equivalent</t>
  </si>
  <si>
    <t>NG consumption in million barrels of oil equivalent</t>
  </si>
  <si>
    <t>Control (not quite the same but close enough)</t>
  </si>
  <si>
    <t>https://en.wikipedia.org/wiki/List_of_countries_by_coal_production</t>
  </si>
  <si>
    <t xml:space="preserve">Manganese ore </t>
  </si>
  <si>
    <t>https://www.statista.com/statistics/1244066/global-manganese-production-volume-by-country/</t>
  </si>
  <si>
    <t>is mostly</t>
  </si>
  <si>
    <t>estimate</t>
  </si>
  <si>
    <t>Ore price</t>
  </si>
  <si>
    <t>or mining</t>
  </si>
  <si>
    <t>https://www.visualcapitalist.com/visualizing-the-worlds-largest-copper-producers/</t>
  </si>
  <si>
    <t>https://www.statista.com/statistics/759972/mine-production-titanium-minerals-worldwide-by-country/</t>
  </si>
  <si>
    <t>https://kyocera-sgstool.co.uk/titanium-resources/titanium-information-everything-you-need-to-know/titanium-ores/</t>
  </si>
  <si>
    <t>https://www.statista.com/statistics/270277/mining-of-rare-earths-by-country/</t>
  </si>
  <si>
    <t>https://investingnews.com/daily/resource-investing/battery-metals-investing/vanadium-investing/vanadium-producing-countries/</t>
  </si>
  <si>
    <t>https://www.statista.com/statistics/910853/global-mine-production-of-molybdenum-by-country/</t>
  </si>
  <si>
    <t>https://www.statista.com/statistics/1249871/share-of-the-global-lithium-ion-battery-manufacturing-capacity-by-country/?ssp=1&amp;darkschemeovr=1&amp;setlang=en-XL&amp;safesearch=moderate</t>
  </si>
  <si>
    <t>China is known for importing and processing most of the worlds lithium ore to lithium metal, lithium carbonate and lithium hydroxide I cant find a good source on it</t>
  </si>
  <si>
    <t>kg of lithium carbonate equivalent for 1kg of lithium metal</t>
  </si>
  <si>
    <t>Source manganese nodules</t>
  </si>
  <si>
    <t>deposits) million tons</t>
  </si>
  <si>
    <t>and sub-economic</t>
  </si>
  <si>
    <t>Have bing chat calculate Titanium content of FeTiO3 Ilmenite the most common titanium ore</t>
  </si>
  <si>
    <t>https://www.statista.com/statistics/1009356/tungsten-production-worldwide-by-country/</t>
  </si>
  <si>
    <t>https://pubs.usgs.gov/periodicals/mcs2023/mcs2023-tungsten.pdf</t>
  </si>
  <si>
    <t>https://tradingeconomics.com/commodity/tellurium</t>
  </si>
  <si>
    <t>https://tradingeconomics.com/commodity/platinum</t>
  </si>
  <si>
    <t>Ounce to kg</t>
  </si>
  <si>
    <t>https://www.unitconverters.net/weight-and-mass/oz-to-kg.htm</t>
  </si>
  <si>
    <t>USD/oz</t>
  </si>
  <si>
    <t>https://www.statista.com/topics/3039/platinum/</t>
  </si>
  <si>
    <t>https://pubs.usgs.gov/fs/2014/3064/pdf/fs2014-3064.pdf</t>
  </si>
  <si>
    <t>https://en.wikipedia.org/wiki/List_of_countries_by_platinum_production</t>
  </si>
  <si>
    <t>Tellurium price</t>
  </si>
  <si>
    <t>CNY/kg</t>
  </si>
  <si>
    <t>1 CNY to X USD</t>
  </si>
  <si>
    <t>https://www.statista.com/statistics/1168340/production-volume-of-tellurium-worldwide/</t>
  </si>
  <si>
    <t>https://pubs.usgs.gov/periodicals/mcs2021/mcs2021-tellurium.pdf</t>
  </si>
  <si>
    <t>https://www.trade.gov/sites/default/files/2021-03/Global%20Report%202019%20.pdf</t>
  </si>
  <si>
    <t>https://en.wikipedia.org/wiki/List_of_countries_by_iron_ore_production</t>
  </si>
  <si>
    <t>https://www.statista.com/statistics/264624/global-production-of-aluminum-by-country/</t>
  </si>
  <si>
    <t>https://en.wikipedia.org/wiki/List_of_countries_by_oil_production</t>
  </si>
  <si>
    <t>https://www.statista.com/statistics/264101/world-natural-gas-production-by-country/</t>
  </si>
  <si>
    <t>https://pubs.usgs.gov/periodicals/mcs2023/mcs2023-thallium.pdf</t>
  </si>
  <si>
    <t>Open pit mining (my cost estimate include needed profits and is based on the long term price for coal traded internationally for 120 USD per ton including long distance transport)</t>
  </si>
  <si>
    <t>Cost to mass transport 1 ton in USD long distance including profit</t>
  </si>
  <si>
    <t>https://www.epa.gov/radiation/tenorm-copper-mining-and-production-wastes?ssp=1&amp;darkschemeovr=1&amp;setlang=en-XL&amp;safesearch=moderate</t>
  </si>
  <si>
    <t>Copper mining and copper processing are co-located so cost of mining lower at 60 USD ton see link</t>
  </si>
  <si>
    <t>https://www.metal.com/Tungsten</t>
  </si>
  <si>
    <t>China 90%</t>
  </si>
  <si>
    <t>China 79%</t>
  </si>
  <si>
    <t>China 40%</t>
  </si>
  <si>
    <t>China 70%</t>
  </si>
  <si>
    <t>China 61%</t>
  </si>
  <si>
    <t>S.Afric.72%</t>
  </si>
  <si>
    <t>S.Afric.38%</t>
  </si>
  <si>
    <t>Indon.48%</t>
  </si>
  <si>
    <t>China 35%</t>
  </si>
  <si>
    <t>if any</t>
  </si>
  <si>
    <t>Austr.48%</t>
  </si>
  <si>
    <t>DRCon.68%</t>
  </si>
  <si>
    <t>https://www.sciencedirect.com/science/article/abs/pii/S0892687520302703</t>
  </si>
  <si>
    <t>China 44%</t>
  </si>
  <si>
    <t>China 30%</t>
  </si>
  <si>
    <t>China 59%</t>
  </si>
  <si>
    <t>China 78%</t>
  </si>
  <si>
    <t>China 64%</t>
  </si>
  <si>
    <t>https://www.linkedin.com/pulse/manganese-ore-processing-zenith-mineral-crusher/</t>
  </si>
  <si>
    <t>S.Afric.36%</t>
  </si>
  <si>
    <t>Manganese mining and manganese processing are often not co-located because ore is 40% or better and processing require much energy so cost is mining and transport</t>
  </si>
  <si>
    <t>anode in Na-ion battery</t>
  </si>
  <si>
    <t>anode in Li-ion battery</t>
  </si>
  <si>
    <t>Wh/l</t>
  </si>
  <si>
    <t>https://www.youtube.com/watch?v=y3pkHZ01_wc&amp;list=FLZCT9hB-Visphsp0Ne3D-xA&amp;index=18&amp;t=220s</t>
  </si>
  <si>
    <t>Timestamp: 1:41 The limiting factor is the #1 channel currently on battery news and I trust his info</t>
  </si>
  <si>
    <t>wire, cathode, casing, current collector anode Li-ion &amp; both in Na-ion</t>
  </si>
  <si>
    <t xml:space="preserve">LMFP </t>
  </si>
  <si>
    <t>LiMnFePO4</t>
  </si>
  <si>
    <t>Manganese Mn</t>
  </si>
  <si>
    <t>Lithium, Mn</t>
  </si>
  <si>
    <t xml:space="preserve">Source for nickel reserves 2022: </t>
  </si>
  <si>
    <t>Same as LFP</t>
  </si>
  <si>
    <t>My guestimate. Mn replaces some of the Iron I just say 50% of the iron</t>
  </si>
  <si>
    <t>Films, binders &amp; electrolyte</t>
  </si>
  <si>
    <t>60kWh kilo</t>
  </si>
  <si>
    <t xml:space="preserve">iron phosphate </t>
  </si>
  <si>
    <t>83kWh kilo</t>
  </si>
  <si>
    <t xml:space="preserve"> x kg of litium carbonate equivalent for 1kg of lithium metal</t>
  </si>
  <si>
    <t>Sodium carbonate Na2CO3</t>
  </si>
  <si>
    <t>X kg of sodium carbonate from 1 kg of Na</t>
  </si>
  <si>
    <t>I asked Bing chat GPT4 to do the calculation</t>
  </si>
  <si>
    <t>Lithium carbonate Li2CO3</t>
  </si>
  <si>
    <t>cost</t>
  </si>
  <si>
    <t xml:space="preserve">Total raw material cost </t>
  </si>
  <si>
    <t>Raw material cost per kWh</t>
  </si>
  <si>
    <t xml:space="preserve">Raw </t>
  </si>
  <si>
    <t>material</t>
  </si>
  <si>
    <t xml:space="preserve">Raw material </t>
  </si>
  <si>
    <t>Iron Fe/Steel</t>
  </si>
  <si>
    <t>NCA variant</t>
  </si>
  <si>
    <t>nickel, cobalt</t>
  </si>
  <si>
    <t>aluminium</t>
  </si>
  <si>
    <t>prices 2023</t>
  </si>
  <si>
    <t>https://www.gensace.de/blog/what-is-the-nmc-811-battery-what-are-its-features-battery-monday/</t>
  </si>
  <si>
    <t>kwh</t>
  </si>
  <si>
    <t>Calculated residual by logic</t>
  </si>
  <si>
    <t>https://moneyballr.medium.com/cost-and-safety-nmc-5-6-series-might-make-a-comeback-this-year-65fd11a13f5c</t>
  </si>
  <si>
    <t>no info</t>
  </si>
  <si>
    <t>I could not find a web reference but my best guess is 255Wh/kg because it is between NMC811 and NMC523</t>
  </si>
  <si>
    <t>https://www.batterydesign.net/cell-energy-density/</t>
  </si>
  <si>
    <t>https://link.springer.com/article/10.1007/s10973-022-11394-5</t>
  </si>
  <si>
    <t>https://history-computer.com/nickel-cobalt-aluminum-nca-vs-nickel-cobalt-manganese-ncm-batteries-compared-whats-the-difference/</t>
  </si>
  <si>
    <t>My estimate. I used the percentage of graphite in the typical NCA battery as a guide</t>
  </si>
  <si>
    <t>NCA use Graphite not hard carbon as anode material</t>
  </si>
  <si>
    <t>My estimate. I used the percentage of aluminium in the typical NCA battery as a guide</t>
  </si>
  <si>
    <t>My estimate. I used the percentage of steel in the typical NCA battery as a guide</t>
  </si>
  <si>
    <t>I could not find any info about the % of Na used in a Na-ion cell so I simply used the measure for Li in Li-ion</t>
  </si>
  <si>
    <t>Timestamp: 6:35 The 5% is my estimate looking at the percentage of manganese used in other cells that use manganese</t>
  </si>
  <si>
    <t>Timestamp: 6:30 Iron replaces Nickel and Cobalt I used % for latter from Tesla battery NCA</t>
  </si>
  <si>
    <t>I assume same % as Tesla cell</t>
  </si>
  <si>
    <t>60kWh</t>
  </si>
  <si>
    <t>alternative battery pack size</t>
  </si>
  <si>
    <t>Battery pack size used for base calculation</t>
  </si>
  <si>
    <t>change</t>
  </si>
  <si>
    <t xml:space="preserve">from </t>
  </si>
  <si>
    <t>current</t>
  </si>
  <si>
    <t>https://copperalliance.org/sustainable-copper/about-copper/cu-demand-long-term-availability/#:~:text=Copper%20is%20naturally%20present%20in%20the%20Earth%E2%80%99s%20crust.,exceed%205%2C000%20million%20tonnes%20%28USGS%2C%202014%20%26%202017%29.</t>
  </si>
  <si>
    <t>2020/2017</t>
  </si>
  <si>
    <t>CATL, BYD</t>
  </si>
  <si>
    <t>Three price scenarios that HM find most likely</t>
  </si>
  <si>
    <t>Graphite mine production and reserves in tons in 2022</t>
  </si>
  <si>
    <t>Mozambique</t>
  </si>
  <si>
    <t>Madsgascar</t>
  </si>
  <si>
    <t>https://www.statista.com/statistics/267366/world-graphite-production/</t>
  </si>
  <si>
    <t>Canada</t>
  </si>
  <si>
    <t>Norway</t>
  </si>
  <si>
    <t>Tanzania</t>
  </si>
  <si>
    <t>Vietnam</t>
  </si>
  <si>
    <t>Sri Lanka</t>
  </si>
  <si>
    <t>Austria</t>
  </si>
  <si>
    <t>Germany</t>
  </si>
  <si>
    <t>Source global graphite reserves</t>
  </si>
  <si>
    <t>https://www.statista.com/statistics/1172356/global-graphite-reservers/</t>
  </si>
  <si>
    <t>Source reserves by country</t>
  </si>
  <si>
    <t>https://www.statista.com/statistics/267367/reserves-of-graphite-by-country/</t>
  </si>
  <si>
    <t>Uzbekistan</t>
  </si>
  <si>
    <t>North Korea</t>
  </si>
  <si>
    <t>Syntehetic graphite</t>
  </si>
  <si>
    <t>Total graphite</t>
  </si>
  <si>
    <t xml:space="preserve">Source for syntetic graphite </t>
  </si>
  <si>
    <t>China 66%</t>
  </si>
  <si>
    <t>Source production by country 2022</t>
  </si>
  <si>
    <t>Source production by country 2021</t>
  </si>
  <si>
    <r>
      <t xml:space="preserve">Price of </t>
    </r>
    <r>
      <rPr>
        <sz val="11"/>
        <color theme="1"/>
        <rFont val="Calibri"/>
        <family val="2"/>
        <scheme val="minor"/>
      </rPr>
      <t>Newcastle Europe coal</t>
    </r>
  </si>
  <si>
    <r>
      <t xml:space="preserve">Coal </t>
    </r>
    <r>
      <rPr>
        <sz val="11"/>
        <color theme="1"/>
        <rFont val="Calibri"/>
        <family val="2"/>
        <scheme val="minor"/>
      </rPr>
      <t>(C,H)</t>
    </r>
  </si>
  <si>
    <t>Price used is WTI US crude)</t>
  </si>
  <si>
    <t>Price used is UK natural gas</t>
  </si>
  <si>
    <r>
      <t>Oil</t>
    </r>
    <r>
      <rPr>
        <sz val="11"/>
        <color theme="1"/>
        <rFont val="Calibri"/>
        <family val="2"/>
        <scheme val="minor"/>
      </rPr>
      <t xml:space="preserve"> (C, H)</t>
    </r>
  </si>
  <si>
    <r>
      <t xml:space="preserve">Manganese </t>
    </r>
    <r>
      <rPr>
        <sz val="11"/>
        <color theme="1"/>
        <rFont val="Calibri"/>
        <family val="2"/>
        <scheme val="minor"/>
      </rPr>
      <t>(Mn )</t>
    </r>
  </si>
  <si>
    <r>
      <t xml:space="preserve">Copper </t>
    </r>
    <r>
      <rPr>
        <sz val="11"/>
        <color theme="1"/>
        <rFont val="Calibri"/>
        <family val="2"/>
        <scheme val="minor"/>
      </rPr>
      <t>(Cu )</t>
    </r>
  </si>
  <si>
    <r>
      <t xml:space="preserve">Graphite </t>
    </r>
    <r>
      <rPr>
        <sz val="11"/>
        <color theme="1"/>
        <rFont val="Calibri"/>
        <family val="2"/>
        <scheme val="minor"/>
      </rPr>
      <t>(C )</t>
    </r>
  </si>
  <si>
    <r>
      <t>Gas</t>
    </r>
    <r>
      <rPr>
        <sz val="11"/>
        <color theme="1"/>
        <rFont val="Calibri"/>
        <family val="2"/>
        <scheme val="minor"/>
      </rPr>
      <t xml:space="preserve"> (C, H)</t>
    </r>
  </si>
  <si>
    <r>
      <t xml:space="preserve">Titanium </t>
    </r>
    <r>
      <rPr>
        <sz val="11"/>
        <color theme="1"/>
        <rFont val="Calibri"/>
        <family val="2"/>
        <scheme val="minor"/>
      </rPr>
      <t>(Ti )</t>
    </r>
  </si>
  <si>
    <r>
      <t xml:space="preserve">Titanium ore </t>
    </r>
    <r>
      <rPr>
        <sz val="11"/>
        <color theme="1"/>
        <rFont val="Calibri"/>
        <family val="2"/>
        <scheme val="minor"/>
      </rPr>
      <t>(FeTiO3)</t>
    </r>
  </si>
  <si>
    <r>
      <t>Rare earth oxides</t>
    </r>
    <r>
      <rPr>
        <sz val="11"/>
        <color theme="1"/>
        <rFont val="Calibri"/>
        <family val="2"/>
        <scheme val="minor"/>
      </rPr>
      <t xml:space="preserve"> Nd</t>
    </r>
  </si>
  <si>
    <r>
      <t xml:space="preserve">Nickel </t>
    </r>
    <r>
      <rPr>
        <sz val="11"/>
        <color theme="1"/>
        <rFont val="Calibri"/>
        <family val="2"/>
        <scheme val="minor"/>
      </rPr>
      <t>(Ni )</t>
    </r>
  </si>
  <si>
    <r>
      <t xml:space="preserve">Hard carbon </t>
    </r>
    <r>
      <rPr>
        <sz val="11"/>
        <color theme="1"/>
        <rFont val="Calibri"/>
        <family val="2"/>
        <scheme val="minor"/>
      </rPr>
      <t>(C )</t>
    </r>
  </si>
  <si>
    <t>NA - synthetic</t>
  </si>
  <si>
    <t>HC production is at most 50k tons but more than 10k tons</t>
  </si>
  <si>
    <t>Raw material costs in USD for a 60 kWh battery for different BEV battery chemistries</t>
  </si>
  <si>
    <t>Battery cells weight in kg</t>
  </si>
  <si>
    <t xml:space="preserve">Li-ion, NMC811 </t>
  </si>
  <si>
    <t xml:space="preserve">Li-ion, NMC523 </t>
  </si>
  <si>
    <t xml:space="preserve">Li-ion, LFP </t>
  </si>
  <si>
    <t xml:space="preserve">Li-ion, LMFP </t>
  </si>
  <si>
    <t>Li-ion, Tesla</t>
  </si>
  <si>
    <t>Cell production cost /kWh</t>
  </si>
  <si>
    <t>Total battery pack cost/kWh</t>
  </si>
  <si>
    <t>Wh/kg (cells)</t>
  </si>
  <si>
    <t>Wh/l (cells)</t>
  </si>
  <si>
    <t>https://about.bnef.com/blog/lithium-ion-battery-pack-prices-rise-for-first-time-to-an-average-of-151-kwh/</t>
  </si>
  <si>
    <t>https://www.findmyelectric.com/blog/tesla-battery-replacement-cost-explained/</t>
  </si>
  <si>
    <t xml:space="preserve">Na-ion </t>
  </si>
  <si>
    <t xml:space="preserve">Annual global </t>
  </si>
  <si>
    <t>production in</t>
  </si>
  <si>
    <t>used in battery</t>
  </si>
  <si>
    <r>
      <t xml:space="preserve">Na carbonate </t>
    </r>
    <r>
      <rPr>
        <sz val="11"/>
        <color theme="1"/>
        <rFont val="Calibri"/>
        <family val="2"/>
        <scheme val="minor"/>
      </rPr>
      <t>(Na2CO3)</t>
    </r>
  </si>
  <si>
    <t>https://www.statista.com/statistics/587223/sodium-carbonate-production-worldwide/</t>
  </si>
  <si>
    <t>https://tradingeconomics.com/commodity/soda-ash</t>
  </si>
  <si>
    <t>https://www.statista.com/statistics/1012606/natural-soda-ash-production-worldwide-by-leading-country/</t>
  </si>
  <si>
    <t>Most soda ash is made syntetically not mined only 16 million tons are mined the rest is made syntetically</t>
  </si>
  <si>
    <t>https://www.statista.com/statistics/1074019/sodium-carbonate-reserves-worldwide-by-country/</t>
  </si>
  <si>
    <t>Billion USD</t>
  </si>
  <si>
    <r>
      <t>Vanadium</t>
    </r>
    <r>
      <rPr>
        <sz val="11"/>
        <color theme="1"/>
        <rFont val="Calibri"/>
        <family val="2"/>
        <scheme val="minor"/>
      </rPr>
      <t xml:space="preserve"> (V )</t>
    </r>
  </si>
  <si>
    <r>
      <t xml:space="preserve">Molybdenum </t>
    </r>
    <r>
      <rPr>
        <sz val="11"/>
        <color theme="1"/>
        <rFont val="Calibri"/>
        <family val="2"/>
        <scheme val="minor"/>
      </rPr>
      <t>(Mo )</t>
    </r>
  </si>
  <si>
    <r>
      <t>Lithium</t>
    </r>
    <r>
      <rPr>
        <sz val="11"/>
        <color theme="1"/>
        <rFont val="Calibri"/>
        <family val="2"/>
        <scheme val="minor"/>
      </rPr>
      <t xml:space="preserve"> (Li )</t>
    </r>
  </si>
  <si>
    <t>Iron Fe + Steel</t>
  </si>
  <si>
    <t>multiplier</t>
  </si>
  <si>
    <t>final multiplier</t>
  </si>
  <si>
    <t># of battery packs made</t>
  </si>
  <si>
    <t>Kilograms of raw material used in 60kWh battery times multiplier</t>
  </si>
  <si>
    <t>1kg to 1 million tons</t>
  </si>
  <si>
    <t>TWh</t>
  </si>
  <si>
    <t xml:space="preserve">Global </t>
  </si>
  <si>
    <t>reserves</t>
  </si>
  <si>
    <t>value of</t>
  </si>
  <si>
    <t>global</t>
  </si>
  <si>
    <t>NA-syntetic</t>
  </si>
  <si>
    <t>https://www.statista.com/statistics/452304/graphite-prices-worldwide-prediction-by-flake-grade/</t>
  </si>
  <si>
    <t>https://westwaterresources.net/minerals-portfolio/graphite-market/</t>
  </si>
  <si>
    <r>
      <t>Graphite</t>
    </r>
    <r>
      <rPr>
        <sz val="11"/>
        <color theme="1"/>
        <rFont val="Calibri"/>
        <family val="2"/>
        <scheme val="minor"/>
      </rPr>
      <t xml:space="preserve"> (for Li-ion 19% 83kWh)</t>
    </r>
  </si>
  <si>
    <t>https://www.pv-magazine.com/2021/04/23/worlds-first-battery-grade-graphite-producer-outside-of-china/</t>
  </si>
  <si>
    <t>Graphite for Li-ion batteries is called "coated spherical  graphite" (CSPG)</t>
  </si>
  <si>
    <t>ordering HC in large quantities is around 3.0 US$/100 g</t>
  </si>
  <si>
    <t>Graphite C, for Li-ion</t>
  </si>
  <si>
    <t>Hard carbon C, for Na-ion</t>
  </si>
  <si>
    <t>Soda Ash</t>
  </si>
  <si>
    <t>Li carbonate Li2CO3</t>
  </si>
  <si>
    <t>Only one producer of li-ion grade graphite outside of china</t>
  </si>
  <si>
    <t>Likely prices</t>
  </si>
  <si>
    <t>Battery packaging cost/kWh</t>
  </si>
  <si>
    <t>Timestamp: 6:25 Aluminium can be used for current collection in both the anode and the cathode in a Na-ion battery. The % is simply adding the % use of that from the Tesla battery</t>
  </si>
  <si>
    <t>x kg of lithium carbonate equivalent for 1kg of lithium metal</t>
  </si>
  <si>
    <t>current collector cathode Li-ion</t>
  </si>
  <si>
    <t>Cell raw material cost /kWh</t>
  </si>
  <si>
    <t xml:space="preserve">Total cell raw material cost </t>
  </si>
  <si>
    <t>Est battery pack weight in kg</t>
  </si>
  <si>
    <t>Weight of packeging material</t>
  </si>
  <si>
    <t>Percentage increase in weight from cells to pack</t>
  </si>
  <si>
    <t>increase</t>
  </si>
  <si>
    <t>Percentage cost of cells of total battery pack costs</t>
  </si>
  <si>
    <t xml:space="preserve">Tesla model Y long range use 4416 battery cells of the 2170 type </t>
  </si>
  <si>
    <t xml:space="preserve">used for </t>
  </si>
  <si>
    <t>Raw materials</t>
  </si>
  <si>
    <t>kWh battery (TLR Model Y)</t>
  </si>
  <si>
    <t>Cost breakdown analysis in USD for different battery chemistries</t>
  </si>
  <si>
    <t>2027-2032?</t>
  </si>
  <si>
    <t>Percentage of current global production to make 100 million 83kWh batteries or 8.3TWh of battery cells</t>
  </si>
  <si>
    <t>Billions of 83kWh battery packs that can be made using all global reserves of particular raw material</t>
  </si>
  <si>
    <t>Cost of 83kWh battery pack</t>
  </si>
  <si>
    <t>Control</t>
  </si>
  <si>
    <t>Base</t>
  </si>
  <si>
    <t>lbs</t>
  </si>
  <si>
    <t>Batteries - In debt cost and scalability analysis #22</t>
  </si>
  <si>
    <t>Million to billion</t>
  </si>
  <si>
    <t>Battery packs to TWh</t>
  </si>
  <si>
    <t xml:space="preserve">Billion </t>
  </si>
  <si>
    <t>83kWh packs</t>
  </si>
  <si>
    <t>In terms of</t>
  </si>
  <si>
    <t>https://data.worldbank.org/indicator/NY.GDP.MKTP.CD</t>
  </si>
  <si>
    <t>World 2021 current GDP</t>
  </si>
  <si>
    <r>
      <t xml:space="preserve">Sources: </t>
    </r>
    <r>
      <rPr>
        <sz val="11"/>
        <color theme="1"/>
        <rFont val="Calibri"/>
        <family val="2"/>
        <scheme val="minor"/>
      </rPr>
      <t>Follow link below video</t>
    </r>
  </si>
  <si>
    <t>million to billion</t>
  </si>
  <si>
    <r>
      <t xml:space="preserve">Coal </t>
    </r>
    <r>
      <rPr>
        <sz val="11"/>
        <color theme="1"/>
        <rFont val="Calibri"/>
        <family val="2"/>
        <scheme val="minor"/>
      </rPr>
      <t>(C,H) annual sales</t>
    </r>
  </si>
  <si>
    <r>
      <t>Oil</t>
    </r>
    <r>
      <rPr>
        <sz val="11"/>
        <color theme="1"/>
        <rFont val="Calibri"/>
        <family val="2"/>
        <scheme val="minor"/>
      </rPr>
      <t xml:space="preserve"> (C, H) annual sales</t>
    </r>
  </si>
  <si>
    <r>
      <t>Gas</t>
    </r>
    <r>
      <rPr>
        <sz val="11"/>
        <color theme="1"/>
        <rFont val="Calibri"/>
        <family val="2"/>
        <scheme val="minor"/>
      </rPr>
      <t xml:space="preserve"> (C, H)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annual sales</t>
    </r>
  </si>
  <si>
    <t>Sum global fossil fuel sales</t>
  </si>
  <si>
    <t>in 2022</t>
  </si>
  <si>
    <t>USD/tons</t>
  </si>
  <si>
    <t>Percentage Wh/kg relative to LMFP battery</t>
  </si>
  <si>
    <t>Percentage Wh/l relative to LMFP battery</t>
  </si>
  <si>
    <t>Total cost of 83kWh battery</t>
  </si>
  <si>
    <t>https://www.fastmarkets.com/insights/overlooked-battery-material-manganese-sulfate-could-experience-supply-deficit-in-next-ten-years</t>
  </si>
  <si>
    <t>China supplies over 90% of the high purity manganese market - also called battery-grade - according to the latest data from the US Geological Survey.</t>
  </si>
  <si>
    <t>Battery grade Mn</t>
  </si>
  <si>
    <t>https://www.usgs.gov/centers/national-minerals-information-center/manganese-statistics-and-information</t>
  </si>
  <si>
    <t>Global use of manganese over 90% for steel making and other alloys</t>
  </si>
  <si>
    <t>Consumption of manganese first use in 2021</t>
  </si>
  <si>
    <t>Steel alloys</t>
  </si>
  <si>
    <r>
      <t>Batteries</t>
    </r>
    <r>
      <rPr>
        <sz val="11"/>
        <color theme="1"/>
        <rFont val="Calibri"/>
        <family val="2"/>
        <scheme val="minor"/>
      </rPr>
      <t xml:space="preserve"> (high purity)</t>
    </r>
  </si>
  <si>
    <t>https://cnevpost.com/2023/05/19/gotion-unveils-new-battery-lmfp-chemistry-range-1000-km/</t>
  </si>
  <si>
    <t>240Wh/kg coming in 2024</t>
  </si>
  <si>
    <t>Synthetic graphite production made from high temperature treatment of amorphous carbon materials like petroleum coke in wacum ovens witout oxygen at temperatures over 2800 degrees celcius</t>
  </si>
  <si>
    <t>https://www.sciencedirect.com/topics/chemical-engineering/artificial-graphite</t>
  </si>
  <si>
    <t xml:space="preserve">Hard carbon is produced by heating carbonaceous precursors like lignin or petroleum coke to approximately 1000 �C in the absence of oxygen. </t>
  </si>
  <si>
    <t>https://en.wikipedia.org/wiki/Hard_carbon</t>
  </si>
  <si>
    <t>in TWh</t>
  </si>
  <si>
    <t>Price USD/kWh</t>
  </si>
  <si>
    <t>Copy here</t>
  </si>
  <si>
    <t>Battery sales</t>
  </si>
  <si>
    <t>in TWh per year</t>
  </si>
  <si>
    <t>2022 production</t>
  </si>
  <si>
    <t>Battery production</t>
  </si>
  <si>
    <t>Tesla at battery day say 2.7% of their nickel rich battery cells is lithium</t>
  </si>
  <si>
    <t>lithium carbonate in 83.15kWh LMFP battery</t>
  </si>
  <si>
    <t>billion</t>
  </si>
  <si>
    <t>lithium carbonate in 1kWh of LMFP battery</t>
  </si>
  <si>
    <t>lithium carbonate in 1TWh of LMFP battery</t>
  </si>
  <si>
    <t>Global lithium carbonate production in 2022</t>
  </si>
  <si>
    <t>million</t>
  </si>
  <si>
    <t>carbonate tons</t>
  </si>
  <si>
    <t>Needed lithium</t>
  </si>
  <si>
    <t>Cost in B. USD</t>
  </si>
  <si>
    <t>Li carbonate</t>
  </si>
  <si>
    <t>Li-carbonate</t>
  </si>
  <si>
    <t>Change</t>
  </si>
  <si>
    <t xml:space="preserve">Li-carbo. in % of </t>
  </si>
  <si>
    <t>Battery</t>
  </si>
  <si>
    <t xml:space="preserve">growth </t>
  </si>
  <si>
    <t>Cumulated</t>
  </si>
  <si>
    <t>cumulated tons</t>
  </si>
  <si>
    <t>from 2033</t>
  </si>
  <si>
    <t>of Li carbonate</t>
  </si>
  <si>
    <t>Cum. Li-carbo. in</t>
  </si>
  <si>
    <t>% of 2022 reserve</t>
  </si>
  <si>
    <t>Global lithium carbonate reserve in 2022</t>
  </si>
  <si>
    <t>Sources: For battery prices see sheet RM_BYBatChem</t>
  </si>
  <si>
    <t>https://www.youtube.com/watch?v=bZNL_8bUz6A&amp;t=1655s</t>
  </si>
  <si>
    <t>Timestamp 27:01</t>
  </si>
  <si>
    <t>LMFP pack level</t>
  </si>
  <si>
    <t>TWh max15Y</t>
  </si>
  <si>
    <t xml:space="preserve">Source for 540GWh battery production in 2022 </t>
  </si>
  <si>
    <t>Global battery &amp; lithium production for fully sustainable economy at 16TWh annually and 240TWh cumulatively using LMFP</t>
  </si>
  <si>
    <r>
      <t xml:space="preserve">World total </t>
    </r>
    <r>
      <rPr>
        <sz val="11"/>
        <color theme="1"/>
        <rFont val="Calibri"/>
        <family val="2"/>
        <scheme val="minor"/>
      </rPr>
      <t>(by Li metal)</t>
    </r>
  </si>
  <si>
    <r>
      <t>Risky countries</t>
    </r>
    <r>
      <rPr>
        <sz val="11"/>
        <color theme="1"/>
        <rFont val="Calibri"/>
        <family val="2"/>
        <scheme val="minor"/>
      </rPr>
      <t xml:space="preserve"> (by Li metal)</t>
    </r>
  </si>
  <si>
    <r>
      <t>World total</t>
    </r>
    <r>
      <rPr>
        <sz val="11"/>
        <color theme="1"/>
        <rFont val="Calibri"/>
        <family val="2"/>
        <scheme val="minor"/>
      </rPr>
      <t xml:space="preserve"> (Li-carbo. equivalent)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</si>
</sst>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.000"/>
    <numFmt numFmtId="165" formatCode="0.0000%"/>
    <numFmt numFmtId="166" formatCode="0.0000"/>
    <numFmt numFmtId="167" formatCode="#,##0.0000"/>
    <numFmt numFmtId="168" formatCode="#,##0.000000"/>
    <numFmt numFmtId="169" formatCode="0.0"/>
    <numFmt numFmtId="170" formatCode="#,##0.0"/>
    <numFmt numFmtId="171" formatCode="&quot;$&quot;#,##0.00"/>
    <numFmt numFmtId="172" formatCode="0.000"/>
    <numFmt numFmtId="173" formatCode="&quot;$&quot;#,##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7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/>
    <xf numFmtId="3" fontId="0" fillId="0" borderId="0" xfId="0" applyNumberFormat="1"/>
    <xf numFmtId="0" fontId="3" fillId="2" borderId="0" xfId="0" applyFont="1" applyFill="1"/>
    <xf numFmtId="0" fontId="0" fillId="2" borderId="0" xfId="0" applyFill="1"/>
    <xf numFmtId="10" fontId="0" fillId="0" borderId="0" xfId="0" applyNumberFormat="1"/>
    <xf numFmtId="0" fontId="6" fillId="0" borderId="0" xfId="1"/>
    <xf numFmtId="0" fontId="3" fillId="5" borderId="0" xfId="0" applyFont="1" applyFill="1"/>
    <xf numFmtId="0" fontId="7" fillId="0" borderId="0" xfId="0" applyFont="1"/>
    <xf numFmtId="0" fontId="3" fillId="6" borderId="1" xfId="0" applyFont="1" applyFill="1" applyBorder="1"/>
    <xf numFmtId="0" fontId="3" fillId="6" borderId="2" xfId="0" applyFont="1" applyFill="1" applyBorder="1"/>
    <xf numFmtId="0" fontId="3" fillId="6" borderId="3" xfId="0" applyFont="1" applyFill="1" applyBorder="1"/>
    <xf numFmtId="0" fontId="0" fillId="6" borderId="4" xfId="0" applyFill="1" applyBorder="1"/>
    <xf numFmtId="0" fontId="0" fillId="6" borderId="0" xfId="0" applyFill="1"/>
    <xf numFmtId="0" fontId="3" fillId="6" borderId="5" xfId="0" applyFont="1" applyFill="1" applyBorder="1"/>
    <xf numFmtId="0" fontId="3" fillId="0" borderId="4" xfId="0" applyFont="1" applyBorder="1"/>
    <xf numFmtId="164" fontId="0" fillId="0" borderId="0" xfId="0" applyNumberFormat="1"/>
    <xf numFmtId="10" fontId="0" fillId="0" borderId="5" xfId="0" applyNumberFormat="1" applyBorder="1"/>
    <xf numFmtId="0" fontId="0" fillId="0" borderId="5" xfId="0" applyBorder="1"/>
    <xf numFmtId="0" fontId="3" fillId="4" borderId="6" xfId="0" applyFont="1" applyFill="1" applyBorder="1"/>
    <xf numFmtId="164" fontId="3" fillId="4" borderId="7" xfId="0" applyNumberFormat="1" applyFont="1" applyFill="1" applyBorder="1"/>
    <xf numFmtId="0" fontId="0" fillId="4" borderId="7" xfId="0" applyFill="1" applyBorder="1"/>
    <xf numFmtId="0" fontId="0" fillId="4" borderId="8" xfId="0" applyFill="1" applyBorder="1"/>
    <xf numFmtId="0" fontId="3" fillId="5" borderId="1" xfId="0" applyFont="1" applyFill="1" applyBorder="1"/>
    <xf numFmtId="0" fontId="3" fillId="5" borderId="2" xfId="0" applyFont="1" applyFill="1" applyBorder="1"/>
    <xf numFmtId="0" fontId="3" fillId="5" borderId="3" xfId="0" applyFont="1" applyFill="1" applyBorder="1"/>
    <xf numFmtId="0" fontId="0" fillId="5" borderId="4" xfId="0" applyFill="1" applyBorder="1"/>
    <xf numFmtId="0" fontId="0" fillId="5" borderId="0" xfId="0" applyFill="1"/>
    <xf numFmtId="0" fontId="3" fillId="5" borderId="5" xfId="0" applyFont="1" applyFill="1" applyBorder="1"/>
    <xf numFmtId="4" fontId="0" fillId="0" borderId="0" xfId="0" applyNumberFormat="1"/>
    <xf numFmtId="15" fontId="0" fillId="0" borderId="5" xfId="0" applyNumberFormat="1" applyBorder="1"/>
    <xf numFmtId="4" fontId="3" fillId="3" borderId="7" xfId="0" applyNumberFormat="1" applyFont="1" applyFill="1" applyBorder="1"/>
    <xf numFmtId="0" fontId="3" fillId="3" borderId="4" xfId="0" applyFont="1" applyFill="1" applyBorder="1"/>
    <xf numFmtId="164" fontId="0" fillId="3" borderId="0" xfId="0" applyNumberFormat="1" applyFill="1"/>
    <xf numFmtId="3" fontId="0" fillId="3" borderId="0" xfId="0" applyNumberFormat="1" applyFill="1"/>
    <xf numFmtId="0" fontId="0" fillId="3" borderId="0" xfId="0" applyFill="1"/>
    <xf numFmtId="10" fontId="0" fillId="3" borderId="5" xfId="0" applyNumberFormat="1" applyFill="1" applyBorder="1"/>
    <xf numFmtId="4" fontId="0" fillId="3" borderId="0" xfId="0" applyNumberFormat="1" applyFill="1"/>
    <xf numFmtId="15" fontId="0" fillId="3" borderId="5" xfId="0" applyNumberFormat="1" applyFill="1" applyBorder="1"/>
    <xf numFmtId="0" fontId="3" fillId="7" borderId="2" xfId="0" applyFont="1" applyFill="1" applyBorder="1"/>
    <xf numFmtId="0" fontId="3" fillId="8" borderId="2" xfId="0" applyFont="1" applyFill="1" applyBorder="1"/>
    <xf numFmtId="0" fontId="3" fillId="8" borderId="3" xfId="0" applyFont="1" applyFill="1" applyBorder="1"/>
    <xf numFmtId="0" fontId="3" fillId="0" borderId="5" xfId="0" applyFont="1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9" borderId="7" xfId="0" applyFont="1" applyFill="1" applyBorder="1"/>
    <xf numFmtId="10" fontId="3" fillId="9" borderId="7" xfId="0" applyNumberFormat="1" applyFont="1" applyFill="1" applyBorder="1" applyAlignment="1">
      <alignment horizontal="center"/>
    </xf>
    <xf numFmtId="0" fontId="3" fillId="9" borderId="7" xfId="0" applyFont="1" applyFill="1" applyBorder="1" applyAlignment="1">
      <alignment horizontal="center"/>
    </xf>
    <xf numFmtId="10" fontId="3" fillId="9" borderId="8" xfId="0" applyNumberFormat="1" applyFont="1" applyFill="1" applyBorder="1" applyAlignment="1">
      <alignment horizontal="center"/>
    </xf>
    <xf numFmtId="0" fontId="3" fillId="10" borderId="1" xfId="0" applyFont="1" applyFill="1" applyBorder="1"/>
    <xf numFmtId="0" fontId="3" fillId="10" borderId="4" xfId="0" applyFont="1" applyFill="1" applyBorder="1"/>
    <xf numFmtId="0" fontId="0" fillId="10" borderId="4" xfId="0" applyFill="1" applyBorder="1"/>
    <xf numFmtId="1" fontId="0" fillId="0" borderId="5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3" fillId="9" borderId="0" xfId="0" applyNumberFormat="1" applyFont="1" applyFill="1" applyAlignment="1">
      <alignment horizontal="center" vertical="center"/>
    </xf>
    <xf numFmtId="1" fontId="3" fillId="9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9" borderId="0" xfId="0" applyFill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1" fontId="0" fillId="9" borderId="5" xfId="0" applyNumberFormat="1" applyFill="1" applyBorder="1" applyAlignment="1">
      <alignment horizontal="center" vertical="center"/>
    </xf>
    <xf numFmtId="0" fontId="3" fillId="10" borderId="6" xfId="0" applyFont="1" applyFill="1" applyBorder="1"/>
    <xf numFmtId="2" fontId="0" fillId="0" borderId="0" xfId="0" applyNumberFormat="1"/>
    <xf numFmtId="0" fontId="3" fillId="11" borderId="0" xfId="0" applyFont="1" applyFill="1"/>
    <xf numFmtId="0" fontId="3" fillId="9" borderId="0" xfId="0" applyFont="1" applyFill="1"/>
    <xf numFmtId="3" fontId="0" fillId="9" borderId="0" xfId="0" applyNumberFormat="1" applyFill="1"/>
    <xf numFmtId="10" fontId="0" fillId="9" borderId="0" xfId="0" applyNumberFormat="1" applyFill="1"/>
    <xf numFmtId="0" fontId="3" fillId="12" borderId="0" xfId="0" applyFont="1" applyFill="1"/>
    <xf numFmtId="3" fontId="0" fillId="12" borderId="0" xfId="0" applyNumberFormat="1" applyFill="1"/>
    <xf numFmtId="0" fontId="0" fillId="12" borderId="0" xfId="0" applyFill="1"/>
    <xf numFmtId="10" fontId="0" fillId="12" borderId="0" xfId="0" applyNumberFormat="1" applyFill="1"/>
    <xf numFmtId="2" fontId="0" fillId="9" borderId="0" xfId="0" applyNumberFormat="1" applyFill="1"/>
    <xf numFmtId="2" fontId="0" fillId="12" borderId="0" xfId="0" applyNumberFormat="1" applyFill="1"/>
    <xf numFmtId="0" fontId="3" fillId="10" borderId="0" xfId="0" applyFont="1" applyFill="1"/>
    <xf numFmtId="0" fontId="8" fillId="0" borderId="0" xfId="0" applyFont="1" applyAlignment="1">
      <alignment horizontal="left"/>
    </xf>
    <xf numFmtId="3" fontId="3" fillId="2" borderId="0" xfId="0" applyNumberFormat="1" applyFont="1" applyFill="1"/>
    <xf numFmtId="10" fontId="0" fillId="2" borderId="0" xfId="0" applyNumberFormat="1" applyFill="1"/>
    <xf numFmtId="10" fontId="0" fillId="3" borderId="0" xfId="0" applyNumberFormat="1" applyFill="1"/>
    <xf numFmtId="4" fontId="3" fillId="4" borderId="7" xfId="0" applyNumberFormat="1" applyFont="1" applyFill="1" applyBorder="1"/>
    <xf numFmtId="15" fontId="0" fillId="0" borderId="0" xfId="0" applyNumberFormat="1"/>
    <xf numFmtId="3" fontId="0" fillId="0" borderId="5" xfId="0" applyNumberFormat="1" applyBorder="1"/>
    <xf numFmtId="0" fontId="3" fillId="6" borderId="0" xfId="0" applyFont="1" applyFill="1"/>
    <xf numFmtId="0" fontId="6" fillId="0" borderId="0" xfId="1" applyAlignment="1">
      <alignment horizontal="left" vertical="center" readingOrder="1"/>
    </xf>
    <xf numFmtId="0" fontId="3" fillId="9" borderId="4" xfId="0" applyFont="1" applyFill="1" applyBorder="1"/>
    <xf numFmtId="0" fontId="0" fillId="9" borderId="0" xfId="0" applyFill="1"/>
    <xf numFmtId="4" fontId="0" fillId="9" borderId="0" xfId="0" applyNumberFormat="1" applyFill="1"/>
    <xf numFmtId="15" fontId="0" fillId="9" borderId="0" xfId="0" applyNumberFormat="1" applyFill="1"/>
    <xf numFmtId="3" fontId="0" fillId="9" borderId="5" xfId="0" applyNumberFormat="1" applyFill="1" applyBorder="1"/>
    <xf numFmtId="0" fontId="3" fillId="6" borderId="9" xfId="0" applyFont="1" applyFill="1" applyBorder="1"/>
    <xf numFmtId="0" fontId="3" fillId="6" borderId="10" xfId="0" applyFont="1" applyFill="1" applyBorder="1"/>
    <xf numFmtId="3" fontId="0" fillId="9" borderId="10" xfId="0" applyNumberFormat="1" applyFill="1" applyBorder="1"/>
    <xf numFmtId="0" fontId="0" fillId="9" borderId="10" xfId="0" applyFill="1" applyBorder="1"/>
    <xf numFmtId="3" fontId="0" fillId="0" borderId="10" xfId="0" applyNumberFormat="1" applyBorder="1"/>
    <xf numFmtId="0" fontId="0" fillId="9" borderId="10" xfId="0" applyFill="1" applyBorder="1" applyAlignment="1">
      <alignment horizontal="center"/>
    </xf>
    <xf numFmtId="10" fontId="0" fillId="9" borderId="0" xfId="0" applyNumberFormat="1" applyFill="1" applyAlignment="1">
      <alignment horizontal="center"/>
    </xf>
    <xf numFmtId="4" fontId="0" fillId="9" borderId="0" xfId="0" applyNumberFormat="1" applyFill="1" applyAlignment="1">
      <alignment horizontal="center"/>
    </xf>
    <xf numFmtId="15" fontId="0" fillId="9" borderId="0" xfId="0" applyNumberFormat="1" applyFill="1" applyAlignment="1">
      <alignment horizontal="center"/>
    </xf>
    <xf numFmtId="4" fontId="0" fillId="0" borderId="0" xfId="0" applyNumberFormat="1" applyAlignment="1">
      <alignment horizontal="center"/>
    </xf>
    <xf numFmtId="15" fontId="0" fillId="0" borderId="0" xfId="0" applyNumberFormat="1" applyAlignment="1">
      <alignment horizontal="center"/>
    </xf>
    <xf numFmtId="3" fontId="0" fillId="0" borderId="5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9" fontId="0" fillId="0" borderId="0" xfId="0" applyNumberFormat="1"/>
    <xf numFmtId="0" fontId="3" fillId="7" borderId="0" xfId="0" applyFont="1" applyFill="1"/>
    <xf numFmtId="0" fontId="8" fillId="0" borderId="0" xfId="0" applyFont="1"/>
    <xf numFmtId="0" fontId="9" fillId="0" borderId="0" xfId="0" applyFont="1"/>
    <xf numFmtId="0" fontId="3" fillId="2" borderId="6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1" xfId="0" applyFill="1" applyBorder="1"/>
    <xf numFmtId="0" fontId="0" fillId="0" borderId="10" xfId="0" applyBorder="1"/>
    <xf numFmtId="0" fontId="3" fillId="0" borderId="2" xfId="0" applyFont="1" applyBorder="1"/>
    <xf numFmtId="0" fontId="7" fillId="13" borderId="0" xfId="0" applyFont="1" applyFill="1"/>
    <xf numFmtId="0" fontId="4" fillId="13" borderId="0" xfId="0" applyFont="1" applyFill="1"/>
    <xf numFmtId="0" fontId="0" fillId="13" borderId="0" xfId="0" applyFill="1"/>
    <xf numFmtId="0" fontId="3" fillId="13" borderId="2" xfId="0" applyFont="1" applyFill="1" applyBorder="1"/>
    <xf numFmtId="0" fontId="8" fillId="13" borderId="0" xfId="0" applyFont="1" applyFill="1" applyAlignment="1">
      <alignment horizontal="left"/>
    </xf>
    <xf numFmtId="0" fontId="3" fillId="13" borderId="0" xfId="0" applyFont="1" applyFill="1"/>
    <xf numFmtId="0" fontId="10" fillId="0" borderId="0" xfId="0" applyFont="1"/>
    <xf numFmtId="0" fontId="3" fillId="11" borderId="1" xfId="0" applyFont="1" applyFill="1" applyBorder="1"/>
    <xf numFmtId="0" fontId="3" fillId="11" borderId="2" xfId="0" applyFont="1" applyFill="1" applyBorder="1"/>
    <xf numFmtId="0" fontId="3" fillId="11" borderId="3" xfId="0" applyFont="1" applyFill="1" applyBorder="1"/>
    <xf numFmtId="0" fontId="3" fillId="13" borderId="4" xfId="0" applyFont="1" applyFill="1" applyBorder="1"/>
    <xf numFmtId="0" fontId="0" fillId="13" borderId="5" xfId="0" applyFill="1" applyBorder="1"/>
    <xf numFmtId="3" fontId="3" fillId="2" borderId="7" xfId="0" applyNumberFormat="1" applyFont="1" applyFill="1" applyBorder="1"/>
    <xf numFmtId="10" fontId="0" fillId="2" borderId="7" xfId="0" applyNumberFormat="1" applyFill="1" applyBorder="1"/>
    <xf numFmtId="10" fontId="0" fillId="2" borderId="8" xfId="0" applyNumberFormat="1" applyFill="1" applyBorder="1"/>
    <xf numFmtId="2" fontId="3" fillId="0" borderId="0" xfId="0" applyNumberFormat="1" applyFont="1"/>
    <xf numFmtId="0" fontId="12" fillId="0" borderId="0" xfId="0" applyFont="1"/>
    <xf numFmtId="0" fontId="3" fillId="8" borderId="0" xfId="0" applyFont="1" applyFill="1"/>
    <xf numFmtId="10" fontId="0" fillId="4" borderId="0" xfId="0" applyNumberFormat="1" applyFill="1"/>
    <xf numFmtId="0" fontId="13" fillId="0" borderId="0" xfId="1" applyFont="1"/>
    <xf numFmtId="0" fontId="3" fillId="4" borderId="0" xfId="0" applyFont="1" applyFill="1"/>
    <xf numFmtId="3" fontId="0" fillId="14" borderId="0" xfId="0" applyNumberFormat="1" applyFill="1"/>
    <xf numFmtId="10" fontId="0" fillId="14" borderId="0" xfId="0" applyNumberFormat="1" applyFill="1"/>
    <xf numFmtId="10" fontId="0" fillId="14" borderId="5" xfId="0" applyNumberFormat="1" applyFill="1" applyBorder="1"/>
    <xf numFmtId="3" fontId="3" fillId="14" borderId="7" xfId="0" applyNumberFormat="1" applyFont="1" applyFill="1" applyBorder="1"/>
    <xf numFmtId="10" fontId="0" fillId="14" borderId="7" xfId="0" applyNumberFormat="1" applyFill="1" applyBorder="1"/>
    <xf numFmtId="10" fontId="0" fillId="14" borderId="8" xfId="0" applyNumberFormat="1" applyFill="1" applyBorder="1"/>
    <xf numFmtId="0" fontId="0" fillId="0" borderId="0" xfId="0" applyAlignment="1">
      <alignment horizontal="center"/>
    </xf>
    <xf numFmtId="10" fontId="6" fillId="0" borderId="0" xfId="1" applyNumberFormat="1"/>
    <xf numFmtId="0" fontId="3" fillId="7" borderId="1" xfId="0" applyFont="1" applyFill="1" applyBorder="1"/>
    <xf numFmtId="0" fontId="3" fillId="14" borderId="2" xfId="0" applyFont="1" applyFill="1" applyBorder="1"/>
    <xf numFmtId="0" fontId="3" fillId="14" borderId="3" xfId="0" applyFont="1" applyFill="1" applyBorder="1"/>
    <xf numFmtId="3" fontId="14" fillId="0" borderId="0" xfId="0" applyNumberFormat="1" applyFont="1"/>
    <xf numFmtId="10" fontId="0" fillId="0" borderId="7" xfId="0" applyNumberFormat="1" applyBorder="1"/>
    <xf numFmtId="3" fontId="0" fillId="0" borderId="7" xfId="0" applyNumberFormat="1" applyBorder="1"/>
    <xf numFmtId="3" fontId="0" fillId="0" borderId="8" xfId="0" applyNumberFormat="1" applyBorder="1"/>
    <xf numFmtId="0" fontId="15" fillId="13" borderId="0" xfId="0" applyFont="1" applyFill="1"/>
    <xf numFmtId="0" fontId="11" fillId="14" borderId="0" xfId="0" applyFont="1" applyFill="1"/>
    <xf numFmtId="0" fontId="11" fillId="14" borderId="5" xfId="0" applyFont="1" applyFill="1" applyBorder="1"/>
    <xf numFmtId="0" fontId="3" fillId="15" borderId="0" xfId="0" applyFont="1" applyFill="1"/>
    <xf numFmtId="0" fontId="3" fillId="7" borderId="3" xfId="0" applyFont="1" applyFill="1" applyBorder="1"/>
    <xf numFmtId="0" fontId="3" fillId="7" borderId="4" xfId="0" applyFont="1" applyFill="1" applyBorder="1"/>
    <xf numFmtId="0" fontId="3" fillId="7" borderId="5" xfId="0" applyFont="1" applyFill="1" applyBorder="1"/>
    <xf numFmtId="0" fontId="3" fillId="15" borderId="4" xfId="0" applyFont="1" applyFill="1" applyBorder="1"/>
    <xf numFmtId="4" fontId="0" fillId="9" borderId="5" xfId="0" applyNumberFormat="1" applyFill="1" applyBorder="1"/>
    <xf numFmtId="0" fontId="0" fillId="9" borderId="5" xfId="0" applyFill="1" applyBorder="1"/>
    <xf numFmtId="0" fontId="15" fillId="0" borderId="0" xfId="0" applyFont="1"/>
    <xf numFmtId="0" fontId="11" fillId="0" borderId="0" xfId="0" applyFont="1"/>
    <xf numFmtId="3" fontId="3" fillId="0" borderId="0" xfId="0" applyNumberFormat="1" applyFont="1"/>
    <xf numFmtId="4" fontId="3" fillId="0" borderId="0" xfId="0" applyNumberFormat="1" applyFont="1"/>
    <xf numFmtId="4" fontId="3" fillId="9" borderId="5" xfId="0" applyNumberFormat="1" applyFont="1" applyFill="1" applyBorder="1"/>
    <xf numFmtId="0" fontId="3" fillId="2" borderId="12" xfId="0" applyFont="1" applyFill="1" applyBorder="1"/>
    <xf numFmtId="0" fontId="0" fillId="2" borderId="13" xfId="0" applyFill="1" applyBorder="1"/>
    <xf numFmtId="3" fontId="3" fillId="2" borderId="13" xfId="0" applyNumberFormat="1" applyFont="1" applyFill="1" applyBorder="1"/>
    <xf numFmtId="0" fontId="3" fillId="2" borderId="13" xfId="0" applyFont="1" applyFill="1" applyBorder="1"/>
    <xf numFmtId="3" fontId="3" fillId="2" borderId="14" xfId="0" applyNumberFormat="1" applyFont="1" applyFill="1" applyBorder="1"/>
    <xf numFmtId="2" fontId="0" fillId="0" borderId="0" xfId="0" applyNumberFormat="1" applyAlignment="1">
      <alignment horizontal="right"/>
    </xf>
    <xf numFmtId="3" fontId="3" fillId="0" borderId="7" xfId="0" applyNumberFormat="1" applyFont="1" applyBorder="1"/>
    <xf numFmtId="0" fontId="0" fillId="14" borderId="0" xfId="0" applyFill="1"/>
    <xf numFmtId="0" fontId="3" fillId="16" borderId="1" xfId="0" applyFont="1" applyFill="1" applyBorder="1"/>
    <xf numFmtId="0" fontId="3" fillId="16" borderId="2" xfId="0" applyFont="1" applyFill="1" applyBorder="1"/>
    <xf numFmtId="0" fontId="3" fillId="16" borderId="3" xfId="0" applyFont="1" applyFill="1" applyBorder="1"/>
    <xf numFmtId="0" fontId="3" fillId="16" borderId="0" xfId="0" applyFont="1" applyFill="1"/>
    <xf numFmtId="0" fontId="0" fillId="0" borderId="0" xfId="0" applyAlignment="1">
      <alignment horizontal="right"/>
    </xf>
    <xf numFmtId="3" fontId="0" fillId="14" borderId="0" xfId="0" applyNumberFormat="1" applyFill="1" applyAlignment="1">
      <alignment horizontal="right"/>
    </xf>
    <xf numFmtId="3" fontId="0" fillId="0" borderId="0" xfId="0" applyNumberFormat="1" applyAlignment="1">
      <alignment horizontal="right"/>
    </xf>
    <xf numFmtId="0" fontId="3" fillId="16" borderId="5" xfId="0" applyFont="1" applyFill="1" applyBorder="1"/>
    <xf numFmtId="10" fontId="0" fillId="0" borderId="8" xfId="0" applyNumberFormat="1" applyBorder="1"/>
    <xf numFmtId="0" fontId="0" fillId="16" borderId="4" xfId="0" applyFill="1" applyBorder="1"/>
    <xf numFmtId="4" fontId="0" fillId="0" borderId="0" xfId="0" applyNumberFormat="1" applyAlignment="1">
      <alignment horizontal="right"/>
    </xf>
    <xf numFmtId="2" fontId="3" fillId="7" borderId="1" xfId="0" applyNumberFormat="1" applyFont="1" applyFill="1" applyBorder="1"/>
    <xf numFmtId="2" fontId="3" fillId="7" borderId="3" xfId="0" applyNumberFormat="1" applyFont="1" applyFill="1" applyBorder="1"/>
    <xf numFmtId="2" fontId="0" fillId="0" borderId="4" xfId="0" applyNumberFormat="1" applyBorder="1"/>
    <xf numFmtId="2" fontId="0" fillId="0" borderId="5" xfId="0" applyNumberFormat="1" applyBorder="1"/>
    <xf numFmtId="2" fontId="3" fillId="10" borderId="4" xfId="0" applyNumberFormat="1" applyFont="1" applyFill="1" applyBorder="1"/>
    <xf numFmtId="2" fontId="3" fillId="10" borderId="6" xfId="0" applyNumberFormat="1" applyFont="1" applyFill="1" applyBorder="1"/>
    <xf numFmtId="10" fontId="3" fillId="0" borderId="0" xfId="0" applyNumberFormat="1" applyFont="1"/>
    <xf numFmtId="166" fontId="0" fillId="0" borderId="0" xfId="0" applyNumberFormat="1" applyAlignment="1">
      <alignment horizontal="right"/>
    </xf>
    <xf numFmtId="0" fontId="16" fillId="0" borderId="0" xfId="0" applyFont="1"/>
    <xf numFmtId="14" fontId="0" fillId="0" borderId="0" xfId="0" applyNumberFormat="1"/>
    <xf numFmtId="0" fontId="3" fillId="8" borderId="1" xfId="0" applyFont="1" applyFill="1" applyBorder="1"/>
    <xf numFmtId="0" fontId="3" fillId="8" borderId="4" xfId="0" applyFont="1" applyFill="1" applyBorder="1"/>
    <xf numFmtId="0" fontId="3" fillId="8" borderId="5" xfId="0" applyFont="1" applyFill="1" applyBorder="1"/>
    <xf numFmtId="167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67" fontId="3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167" fontId="0" fillId="9" borderId="0" xfId="0" applyNumberFormat="1" applyFill="1" applyAlignment="1">
      <alignment horizontal="right"/>
    </xf>
    <xf numFmtId="165" fontId="0" fillId="9" borderId="0" xfId="0" applyNumberFormat="1" applyFill="1" applyAlignment="1">
      <alignment horizontal="right"/>
    </xf>
    <xf numFmtId="167" fontId="3" fillId="9" borderId="0" xfId="0" applyNumberFormat="1" applyFont="1" applyFill="1" applyAlignment="1">
      <alignment horizontal="right"/>
    </xf>
    <xf numFmtId="166" fontId="0" fillId="9" borderId="0" xfId="0" applyNumberFormat="1" applyFill="1" applyAlignment="1">
      <alignment horizontal="right"/>
    </xf>
    <xf numFmtId="0" fontId="0" fillId="9" borderId="0" xfId="0" applyFill="1" applyAlignment="1">
      <alignment horizontal="right"/>
    </xf>
    <xf numFmtId="1" fontId="0" fillId="9" borderId="0" xfId="0" applyNumberFormat="1" applyFill="1" applyAlignment="1">
      <alignment horizontal="right"/>
    </xf>
    <xf numFmtId="2" fontId="0" fillId="9" borderId="0" xfId="0" applyNumberFormat="1" applyFill="1" applyAlignment="1">
      <alignment horizontal="right"/>
    </xf>
    <xf numFmtId="14" fontId="0" fillId="9" borderId="0" xfId="0" applyNumberFormat="1" applyFill="1" applyAlignment="1">
      <alignment horizontal="right"/>
    </xf>
    <xf numFmtId="3" fontId="0" fillId="9" borderId="0" xfId="0" applyNumberFormat="1" applyFill="1" applyAlignment="1">
      <alignment horizontal="right"/>
    </xf>
    <xf numFmtId="3" fontId="14" fillId="9" borderId="0" xfId="0" applyNumberFormat="1" applyFont="1" applyFill="1" applyAlignment="1">
      <alignment horizontal="right"/>
    </xf>
    <xf numFmtId="0" fontId="0" fillId="0" borderId="5" xfId="0" applyBorder="1" applyAlignment="1">
      <alignment horizontal="right"/>
    </xf>
    <xf numFmtId="10" fontId="0" fillId="0" borderId="0" xfId="0" applyNumberFormat="1" applyAlignment="1">
      <alignment horizontal="right"/>
    </xf>
    <xf numFmtId="167" fontId="3" fillId="17" borderId="0" xfId="0" applyNumberFormat="1" applyFont="1" applyFill="1" applyAlignment="1">
      <alignment horizontal="right"/>
    </xf>
    <xf numFmtId="165" fontId="3" fillId="17" borderId="0" xfId="0" applyNumberFormat="1" applyFont="1" applyFill="1" applyAlignment="1">
      <alignment horizontal="right"/>
    </xf>
    <xf numFmtId="166" fontId="0" fillId="0" borderId="7" xfId="0" applyNumberFormat="1" applyBorder="1" applyAlignment="1">
      <alignment horizontal="right"/>
    </xf>
    <xf numFmtId="167" fontId="3" fillId="0" borderId="7" xfId="0" applyNumberFormat="1" applyFont="1" applyBorder="1" applyAlignment="1">
      <alignment horizontal="right"/>
    </xf>
    <xf numFmtId="0" fontId="0" fillId="0" borderId="7" xfId="0" applyBorder="1" applyAlignment="1">
      <alignment horizontal="right"/>
    </xf>
    <xf numFmtId="167" fontId="0" fillId="0" borderId="7" xfId="0" applyNumberFormat="1" applyBorder="1" applyAlignment="1">
      <alignment horizontal="right"/>
    </xf>
    <xf numFmtId="1" fontId="0" fillId="0" borderId="7" xfId="0" applyNumberFormat="1" applyBorder="1" applyAlignment="1">
      <alignment horizontal="right"/>
    </xf>
    <xf numFmtId="10" fontId="0" fillId="0" borderId="7" xfId="0" applyNumberFormat="1" applyBorder="1" applyAlignment="1">
      <alignment horizontal="right"/>
    </xf>
    <xf numFmtId="2" fontId="0" fillId="0" borderId="7" xfId="0" applyNumberFormat="1" applyBorder="1" applyAlignment="1">
      <alignment horizontal="right"/>
    </xf>
    <xf numFmtId="14" fontId="0" fillId="0" borderId="7" xfId="0" applyNumberFormat="1" applyBorder="1" applyAlignment="1">
      <alignment horizontal="right"/>
    </xf>
    <xf numFmtId="0" fontId="0" fillId="0" borderId="8" xfId="0" applyBorder="1"/>
    <xf numFmtId="167" fontId="0" fillId="0" borderId="0" xfId="0" applyNumberFormat="1"/>
    <xf numFmtId="3" fontId="0" fillId="0" borderId="7" xfId="0" applyNumberFormat="1" applyBorder="1" applyAlignment="1">
      <alignment horizontal="right"/>
    </xf>
    <xf numFmtId="15" fontId="0" fillId="0" borderId="0" xfId="0" applyNumberFormat="1" applyAlignment="1">
      <alignment horizontal="right"/>
    </xf>
    <xf numFmtId="0" fontId="0" fillId="0" borderId="5" xfId="0" applyBorder="1" applyAlignment="1">
      <alignment horizontal="left"/>
    </xf>
    <xf numFmtId="167" fontId="0" fillId="0" borderId="5" xfId="0" applyNumberFormat="1" applyBorder="1" applyAlignment="1">
      <alignment horizontal="right"/>
    </xf>
    <xf numFmtId="168" fontId="0" fillId="0" borderId="0" xfId="0" applyNumberFormat="1" applyAlignment="1">
      <alignment horizontal="right"/>
    </xf>
    <xf numFmtId="10" fontId="0" fillId="9" borderId="0" xfId="0" applyNumberFormat="1" applyFill="1" applyAlignment="1">
      <alignment horizontal="right"/>
    </xf>
    <xf numFmtId="4" fontId="0" fillId="9" borderId="0" xfId="0" applyNumberFormat="1" applyFill="1" applyAlignment="1">
      <alignment horizontal="right"/>
    </xf>
    <xf numFmtId="15" fontId="0" fillId="9" borderId="0" xfId="0" applyNumberFormat="1" applyFill="1" applyAlignment="1">
      <alignment horizontal="right"/>
    </xf>
    <xf numFmtId="0" fontId="0" fillId="14" borderId="5" xfId="0" applyFill="1" applyBorder="1"/>
    <xf numFmtId="9" fontId="0" fillId="14" borderId="5" xfId="0" applyNumberFormat="1" applyFill="1" applyBorder="1"/>
    <xf numFmtId="0" fontId="13" fillId="0" borderId="0" xfId="0" applyFont="1"/>
    <xf numFmtId="0" fontId="0" fillId="4" borderId="0" xfId="0" applyFill="1"/>
    <xf numFmtId="4" fontId="3" fillId="9" borderId="0" xfId="0" applyNumberFormat="1" applyFont="1" applyFill="1"/>
    <xf numFmtId="10" fontId="0" fillId="4" borderId="0" xfId="0" applyNumberFormat="1" applyFill="1" applyAlignment="1">
      <alignment horizontal="right"/>
    </xf>
    <xf numFmtId="4" fontId="13" fillId="0" borderId="0" xfId="0" applyNumberFormat="1" applyFont="1" applyAlignment="1">
      <alignment horizontal="right"/>
    </xf>
    <xf numFmtId="169" fontId="0" fillId="0" borderId="0" xfId="0" applyNumberFormat="1" applyAlignment="1">
      <alignment horizontal="right"/>
    </xf>
    <xf numFmtId="169" fontId="3" fillId="0" borderId="0" xfId="0" applyNumberFormat="1" applyFont="1"/>
    <xf numFmtId="169" fontId="0" fillId="0" borderId="0" xfId="0" applyNumberFormat="1"/>
    <xf numFmtId="170" fontId="0" fillId="0" borderId="0" xfId="0" applyNumberFormat="1" applyAlignment="1">
      <alignment horizontal="right"/>
    </xf>
    <xf numFmtId="0" fontId="3" fillId="18" borderId="0" xfId="0" applyFont="1" applyFill="1"/>
    <xf numFmtId="4" fontId="3" fillId="18" borderId="0" xfId="0" applyNumberFormat="1" applyFont="1" applyFill="1"/>
    <xf numFmtId="2" fontId="3" fillId="18" borderId="0" xfId="0" applyNumberFormat="1" applyFont="1" applyFill="1"/>
    <xf numFmtId="0" fontId="0" fillId="18" borderId="0" xfId="0" applyFill="1"/>
    <xf numFmtId="4" fontId="0" fillId="18" borderId="0" xfId="0" applyNumberFormat="1" applyFill="1"/>
    <xf numFmtId="0" fontId="6" fillId="18" borderId="0" xfId="1" applyFill="1"/>
    <xf numFmtId="10" fontId="0" fillId="14" borderId="15" xfId="0" applyNumberFormat="1" applyFill="1" applyBorder="1"/>
    <xf numFmtId="10" fontId="0" fillId="14" borderId="16" xfId="0" applyNumberFormat="1" applyFill="1" applyBorder="1"/>
    <xf numFmtId="3" fontId="3" fillId="0" borderId="2" xfId="0" applyNumberFormat="1" applyFont="1" applyBorder="1"/>
    <xf numFmtId="10" fontId="0" fillId="0" borderId="2" xfId="0" applyNumberFormat="1" applyBorder="1"/>
    <xf numFmtId="10" fontId="0" fillId="0" borderId="3" xfId="0" applyNumberFormat="1" applyBorder="1"/>
    <xf numFmtId="0" fontId="6" fillId="0" borderId="2" xfId="1" applyBorder="1" applyAlignment="1">
      <alignment horizontal="left"/>
    </xf>
    <xf numFmtId="0" fontId="0" fillId="0" borderId="2" xfId="0" applyBorder="1" applyAlignment="1">
      <alignment horizontal="left"/>
    </xf>
    <xf numFmtId="0" fontId="6" fillId="0" borderId="3" xfId="1" applyBorder="1" applyAlignment="1">
      <alignment horizontal="left"/>
    </xf>
    <xf numFmtId="0" fontId="6" fillId="0" borderId="0" xfId="1" applyBorder="1" applyAlignment="1">
      <alignment horizontal="left"/>
    </xf>
    <xf numFmtId="0" fontId="0" fillId="0" borderId="0" xfId="0" applyAlignment="1">
      <alignment horizontal="left"/>
    </xf>
    <xf numFmtId="0" fontId="13" fillId="9" borderId="0" xfId="1" applyFont="1" applyFill="1" applyBorder="1" applyAlignment="1">
      <alignment horizontal="left"/>
    </xf>
    <xf numFmtId="0" fontId="6" fillId="0" borderId="5" xfId="1" applyBorder="1" applyAlignment="1">
      <alignment horizontal="left"/>
    </xf>
    <xf numFmtId="0" fontId="6" fillId="9" borderId="0" xfId="1" applyFill="1" applyBorder="1" applyAlignment="1">
      <alignment horizontal="left"/>
    </xf>
    <xf numFmtId="0" fontId="0" fillId="9" borderId="0" xfId="0" applyFill="1" applyAlignment="1">
      <alignment horizontal="left"/>
    </xf>
    <xf numFmtId="0" fontId="6" fillId="9" borderId="5" xfId="1" applyFill="1" applyBorder="1" applyAlignment="1">
      <alignment horizontal="left"/>
    </xf>
    <xf numFmtId="0" fontId="13" fillId="9" borderId="5" xfId="1" applyFont="1" applyFill="1" applyBorder="1" applyAlignment="1">
      <alignment horizontal="left"/>
    </xf>
    <xf numFmtId="166" fontId="6" fillId="9" borderId="0" xfId="1" applyNumberFormat="1" applyFill="1" applyBorder="1" applyAlignment="1">
      <alignment horizontal="left"/>
    </xf>
    <xf numFmtId="166" fontId="0" fillId="0" borderId="0" xfId="0" applyNumberFormat="1" applyAlignment="1">
      <alignment horizontal="left"/>
    </xf>
    <xf numFmtId="166" fontId="6" fillId="0" borderId="0" xfId="1" applyNumberFormat="1" applyBorder="1" applyAlignment="1">
      <alignment horizontal="left"/>
    </xf>
    <xf numFmtId="0" fontId="6" fillId="0" borderId="0" xfId="1" applyAlignment="1">
      <alignment horizontal="left"/>
    </xf>
    <xf numFmtId="166" fontId="0" fillId="0" borderId="7" xfId="0" applyNumberFormat="1" applyBorder="1" applyAlignment="1">
      <alignment horizontal="left"/>
    </xf>
    <xf numFmtId="0" fontId="6" fillId="0" borderId="7" xfId="1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8" xfId="1" applyBorder="1" applyAlignment="1">
      <alignment horizontal="left"/>
    </xf>
    <xf numFmtId="171" fontId="0" fillId="0" borderId="0" xfId="0" applyNumberFormat="1"/>
    <xf numFmtId="0" fontId="3" fillId="3" borderId="2" xfId="0" applyFont="1" applyFill="1" applyBorder="1"/>
    <xf numFmtId="0" fontId="3" fillId="3" borderId="0" xfId="0" applyFont="1" applyFill="1"/>
    <xf numFmtId="0" fontId="3" fillId="14" borderId="0" xfId="0" applyFont="1" applyFill="1"/>
    <xf numFmtId="171" fontId="13" fillId="0" borderId="0" xfId="0" applyNumberFormat="1" applyFont="1"/>
    <xf numFmtId="4" fontId="13" fillId="0" borderId="0" xfId="0" applyNumberFormat="1" applyFont="1"/>
    <xf numFmtId="171" fontId="0" fillId="0" borderId="0" xfId="0" applyNumberFormat="1" applyAlignment="1">
      <alignment horizontal="right"/>
    </xf>
    <xf numFmtId="171" fontId="0" fillId="0" borderId="5" xfId="0" applyNumberFormat="1" applyBorder="1" applyAlignment="1">
      <alignment horizontal="right"/>
    </xf>
    <xf numFmtId="171" fontId="3" fillId="0" borderId="0" xfId="0" applyNumberFormat="1" applyFont="1" applyAlignment="1">
      <alignment horizontal="right"/>
    </xf>
    <xf numFmtId="171" fontId="0" fillId="0" borderId="5" xfId="0" applyNumberFormat="1" applyBorder="1"/>
    <xf numFmtId="0" fontId="0" fillId="8" borderId="0" xfId="0" applyFill="1"/>
    <xf numFmtId="4" fontId="3" fillId="8" borderId="0" xfId="0" applyNumberFormat="1" applyFont="1" applyFill="1"/>
    <xf numFmtId="4" fontId="3" fillId="8" borderId="5" xfId="0" applyNumberFormat="1" applyFont="1" applyFill="1" applyBorder="1"/>
    <xf numFmtId="0" fontId="3" fillId="8" borderId="6" xfId="0" applyFont="1" applyFill="1" applyBorder="1"/>
    <xf numFmtId="0" fontId="0" fillId="8" borderId="7" xfId="0" applyFill="1" applyBorder="1"/>
    <xf numFmtId="4" fontId="3" fillId="8" borderId="7" xfId="0" applyNumberFormat="1" applyFont="1" applyFill="1" applyBorder="1"/>
    <xf numFmtId="4" fontId="3" fillId="8" borderId="8" xfId="0" applyNumberFormat="1" applyFont="1" applyFill="1" applyBorder="1"/>
    <xf numFmtId="171" fontId="3" fillId="0" borderId="0" xfId="0" applyNumberFormat="1" applyFont="1"/>
    <xf numFmtId="171" fontId="3" fillId="0" borderId="5" xfId="0" applyNumberFormat="1" applyFont="1" applyBorder="1"/>
    <xf numFmtId="0" fontId="6" fillId="0" borderId="0" xfId="1" applyBorder="1"/>
    <xf numFmtId="0" fontId="6" fillId="0" borderId="0" xfId="1" applyFill="1" applyBorder="1" applyAlignment="1">
      <alignment horizontal="left"/>
    </xf>
    <xf numFmtId="0" fontId="6" fillId="0" borderId="0" xfId="1" applyFill="1" applyAlignment="1">
      <alignment horizontal="left"/>
    </xf>
    <xf numFmtId="0" fontId="6" fillId="0" borderId="5" xfId="1" applyFill="1" applyBorder="1" applyAlignment="1">
      <alignment horizontal="left"/>
    </xf>
    <xf numFmtId="167" fontId="13" fillId="0" borderId="0" xfId="0" applyNumberFormat="1" applyFont="1"/>
    <xf numFmtId="0" fontId="6" fillId="0" borderId="0" xfId="1" applyFill="1" applyBorder="1"/>
    <xf numFmtId="0" fontId="3" fillId="0" borderId="0" xfId="0" applyFont="1" applyAlignment="1">
      <alignment horizontal="left"/>
    </xf>
    <xf numFmtId="10" fontId="0" fillId="0" borderId="5" xfId="0" applyNumberFormat="1" applyBorder="1" applyAlignment="1">
      <alignment horizontal="right"/>
    </xf>
    <xf numFmtId="171" fontId="3" fillId="8" borderId="0" xfId="0" applyNumberFormat="1" applyFont="1" applyFill="1" applyAlignment="1">
      <alignment horizontal="right"/>
    </xf>
    <xf numFmtId="171" fontId="3" fillId="8" borderId="5" xfId="0" applyNumberFormat="1" applyFont="1" applyFill="1" applyBorder="1" applyAlignment="1">
      <alignment horizontal="right"/>
    </xf>
    <xf numFmtId="0" fontId="3" fillId="4" borderId="4" xfId="0" applyFont="1" applyFill="1" applyBorder="1"/>
    <xf numFmtId="2" fontId="3" fillId="7" borderId="0" xfId="0" applyNumberFormat="1" applyFont="1" applyFill="1"/>
    <xf numFmtId="164" fontId="0" fillId="0" borderId="0" xfId="0" applyNumberFormat="1" applyAlignment="1">
      <alignment horizontal="right"/>
    </xf>
    <xf numFmtId="164" fontId="0" fillId="0" borderId="5" xfId="0" applyNumberFormat="1" applyBorder="1" applyAlignment="1">
      <alignment horizontal="right"/>
    </xf>
    <xf numFmtId="4" fontId="0" fillId="0" borderId="5" xfId="0" applyNumberFormat="1" applyBorder="1" applyAlignment="1">
      <alignment horizontal="right"/>
    </xf>
    <xf numFmtId="169" fontId="0" fillId="4" borderId="0" xfId="0" applyNumberFormat="1" applyFill="1"/>
    <xf numFmtId="169" fontId="0" fillId="4" borderId="5" xfId="0" applyNumberFormat="1" applyFill="1" applyBorder="1"/>
    <xf numFmtId="4" fontId="0" fillId="4" borderId="0" xfId="0" applyNumberFormat="1" applyFill="1"/>
    <xf numFmtId="4" fontId="0" fillId="4" borderId="5" xfId="0" applyNumberFormat="1" applyFill="1" applyBorder="1"/>
    <xf numFmtId="0" fontId="3" fillId="10" borderId="4" xfId="0" applyFont="1" applyFill="1" applyBorder="1" applyAlignment="1">
      <alignment horizontal="left"/>
    </xf>
    <xf numFmtId="0" fontId="0" fillId="0" borderId="4" xfId="0" applyBorder="1"/>
    <xf numFmtId="9" fontId="0" fillId="0" borderId="5" xfId="0" applyNumberFormat="1" applyBorder="1"/>
    <xf numFmtId="9" fontId="0" fillId="0" borderId="8" xfId="0" applyNumberFormat="1" applyBorder="1"/>
    <xf numFmtId="10" fontId="0" fillId="4" borderId="5" xfId="0" applyNumberFormat="1" applyFill="1" applyBorder="1"/>
    <xf numFmtId="4" fontId="3" fillId="8" borderId="7" xfId="0" applyNumberFormat="1" applyFont="1" applyFill="1" applyBorder="1" applyAlignment="1">
      <alignment horizontal="right"/>
    </xf>
    <xf numFmtId="4" fontId="3" fillId="8" borderId="8" xfId="0" applyNumberFormat="1" applyFont="1" applyFill="1" applyBorder="1" applyAlignment="1">
      <alignment horizontal="right"/>
    </xf>
    <xf numFmtId="0" fontId="3" fillId="8" borderId="7" xfId="0" applyFont="1" applyFill="1" applyBorder="1"/>
    <xf numFmtId="3" fontId="6" fillId="0" borderId="0" xfId="1" applyNumberFormat="1"/>
    <xf numFmtId="167" fontId="14" fillId="0" borderId="0" xfId="0" applyNumberFormat="1" applyFont="1"/>
    <xf numFmtId="0" fontId="3" fillId="8" borderId="1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171" fontId="0" fillId="4" borderId="5" xfId="0" applyNumberFormat="1" applyFill="1" applyBorder="1"/>
    <xf numFmtId="0" fontId="3" fillId="8" borderId="0" xfId="0" applyFont="1" applyFill="1" applyAlignment="1">
      <alignment horizontal="center"/>
    </xf>
    <xf numFmtId="0" fontId="0" fillId="4" borderId="0" xfId="0" applyFill="1" applyAlignment="1">
      <alignment horizontal="right"/>
    </xf>
    <xf numFmtId="0" fontId="0" fillId="0" borderId="16" xfId="0" applyBorder="1"/>
    <xf numFmtId="0" fontId="3" fillId="0" borderId="17" xfId="0" applyFont="1" applyBorder="1"/>
    <xf numFmtId="171" fontId="3" fillId="0" borderId="15" xfId="0" applyNumberFormat="1" applyFont="1" applyBorder="1"/>
    <xf numFmtId="0" fontId="0" fillId="13" borderId="2" xfId="0" applyFill="1" applyBorder="1"/>
    <xf numFmtId="171" fontId="3" fillId="13" borderId="2" xfId="0" applyNumberFormat="1" applyFont="1" applyFill="1" applyBorder="1" applyAlignment="1">
      <alignment horizontal="right"/>
    </xf>
    <xf numFmtId="169" fontId="0" fillId="0" borderId="4" xfId="0" applyNumberFormat="1" applyBorder="1"/>
    <xf numFmtId="169" fontId="0" fillId="4" borderId="4" xfId="0" applyNumberFormat="1" applyFill="1" applyBorder="1"/>
    <xf numFmtId="171" fontId="0" fillId="0" borderId="3" xfId="0" applyNumberFormat="1" applyBorder="1"/>
    <xf numFmtId="171" fontId="3" fillId="4" borderId="8" xfId="0" applyNumberFormat="1" applyFont="1" applyFill="1" applyBorder="1"/>
    <xf numFmtId="169" fontId="3" fillId="4" borderId="4" xfId="0" applyNumberFormat="1" applyFont="1" applyFill="1" applyBorder="1"/>
    <xf numFmtId="171" fontId="3" fillId="4" borderId="5" xfId="0" applyNumberFormat="1" applyFont="1" applyFill="1" applyBorder="1"/>
    <xf numFmtId="170" fontId="0" fillId="0" borderId="0" xfId="0" applyNumberFormat="1"/>
    <xf numFmtId="10" fontId="0" fillId="4" borderId="7" xfId="0" applyNumberFormat="1" applyFill="1" applyBorder="1"/>
    <xf numFmtId="10" fontId="0" fillId="4" borderId="8" xfId="0" applyNumberFormat="1" applyFill="1" applyBorder="1"/>
    <xf numFmtId="0" fontId="6" fillId="8" borderId="0" xfId="1" applyFill="1" applyBorder="1"/>
    <xf numFmtId="171" fontId="3" fillId="8" borderId="0" xfId="0" applyNumberFormat="1" applyFont="1" applyFill="1"/>
    <xf numFmtId="171" fontId="3" fillId="8" borderId="5" xfId="0" applyNumberFormat="1" applyFont="1" applyFill="1" applyBorder="1"/>
    <xf numFmtId="171" fontId="14" fillId="0" borderId="0" xfId="0" applyNumberFormat="1" applyFont="1"/>
    <xf numFmtId="2" fontId="3" fillId="4" borderId="0" xfId="0" applyNumberFormat="1" applyFont="1" applyFill="1" applyAlignment="1">
      <alignment horizontal="right"/>
    </xf>
    <xf numFmtId="2" fontId="0" fillId="4" borderId="0" xfId="0" applyNumberFormat="1" applyFill="1" applyAlignment="1">
      <alignment horizontal="right"/>
    </xf>
    <xf numFmtId="172" fontId="0" fillId="0" borderId="0" xfId="0" applyNumberFormat="1"/>
    <xf numFmtId="3" fontId="18" fillId="0" borderId="0" xfId="0" applyNumberFormat="1" applyFont="1"/>
    <xf numFmtId="173" fontId="0" fillId="0" borderId="0" xfId="0" applyNumberFormat="1"/>
    <xf numFmtId="4" fontId="0" fillId="0" borderId="5" xfId="0" applyNumberFormat="1" applyBorder="1"/>
    <xf numFmtId="164" fontId="3" fillId="4" borderId="0" xfId="0" applyNumberFormat="1" applyFont="1" applyFill="1"/>
    <xf numFmtId="164" fontId="0" fillId="4" borderId="0" xfId="0" applyNumberFormat="1" applyFill="1"/>
    <xf numFmtId="173" fontId="0" fillId="4" borderId="0" xfId="0" applyNumberFormat="1" applyFill="1"/>
    <xf numFmtId="3" fontId="0" fillId="4" borderId="0" xfId="0" applyNumberFormat="1" applyFill="1"/>
    <xf numFmtId="171" fontId="0" fillId="4" borderId="0" xfId="0" applyNumberFormat="1" applyFill="1"/>
    <xf numFmtId="0" fontId="3" fillId="7" borderId="6" xfId="0" applyFont="1" applyFill="1" applyBorder="1"/>
    <xf numFmtId="164" fontId="0" fillId="4" borderId="7" xfId="0" applyNumberFormat="1" applyFill="1" applyBorder="1"/>
    <xf numFmtId="173" fontId="0" fillId="4" borderId="7" xfId="0" applyNumberFormat="1" applyFill="1" applyBorder="1"/>
    <xf numFmtId="3" fontId="0" fillId="4" borderId="7" xfId="0" applyNumberFormat="1" applyFill="1" applyBorder="1"/>
    <xf numFmtId="171" fontId="0" fillId="4" borderId="7" xfId="0" applyNumberFormat="1" applyFill="1" applyBorder="1"/>
    <xf numFmtId="4" fontId="0" fillId="4" borderId="8" xfId="0" applyNumberFormat="1" applyFill="1" applyBorder="1"/>
    <xf numFmtId="171" fontId="13" fillId="0" borderId="0" xfId="0" applyNumberFormat="1" applyFont="1" applyAlignment="1">
      <alignment horizontal="right"/>
    </xf>
    <xf numFmtId="3" fontId="3" fillId="2" borderId="0" xfId="0" applyNumberFormat="1" applyFont="1" applyFill="1" applyAlignment="1">
      <alignment horizontal="right"/>
    </xf>
    <xf numFmtId="10" fontId="0" fillId="2" borderId="5" xfId="0" applyNumberFormat="1" applyFill="1" applyBorder="1"/>
    <xf numFmtId="0" fontId="3" fillId="11" borderId="4" xfId="0" applyFont="1" applyFill="1" applyBorder="1"/>
    <xf numFmtId="0" fontId="0" fillId="11" borderId="0" xfId="0" applyFill="1"/>
    <xf numFmtId="0" fontId="0" fillId="11" borderId="5" xfId="0" applyFill="1" applyBorder="1"/>
    <xf numFmtId="0" fontId="17" fillId="13" borderId="0" xfId="0" applyFont="1" applyFill="1"/>
    <xf numFmtId="0" fontId="18" fillId="13" borderId="0" xfId="0" applyFont="1" applyFill="1"/>
    <xf numFmtId="0" fontId="0" fillId="14" borderId="0" xfId="0" applyFill="1" applyAlignment="1">
      <alignment horizontal="right"/>
    </xf>
    <xf numFmtId="10" fontId="0" fillId="14" borderId="0" xfId="0" applyNumberFormat="1" applyFill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dingeconomics.com/commodity/manganese" TargetMode="External"/><Relationship Id="rId13" Type="http://schemas.openxmlformats.org/officeDocument/2006/relationships/hyperlink" Target="https://onlinelibrary.wiley.com/doi/full/10.1002/aenm.202000093" TargetMode="External"/><Relationship Id="rId18" Type="http://schemas.openxmlformats.org/officeDocument/2006/relationships/hyperlink" Target="https://tradingeconomics.com/commodity/magnesium" TargetMode="External"/><Relationship Id="rId3" Type="http://schemas.openxmlformats.org/officeDocument/2006/relationships/hyperlink" Target="https://www.mining.com/all-the-mines-tesla-needs-to-build-20-million-cars-a-year/" TargetMode="External"/><Relationship Id="rId21" Type="http://schemas.openxmlformats.org/officeDocument/2006/relationships/hyperlink" Target="https://westwaterresources.net/minerals-portfolio/graphite-market/" TargetMode="External"/><Relationship Id="rId7" Type="http://schemas.openxmlformats.org/officeDocument/2006/relationships/hyperlink" Target="https://tradingeconomics.com/commodity/copper" TargetMode="External"/><Relationship Id="rId12" Type="http://schemas.openxmlformats.org/officeDocument/2006/relationships/hyperlink" Target="https://tradingeconomics.com/commodity/steel" TargetMode="External"/><Relationship Id="rId17" Type="http://schemas.openxmlformats.org/officeDocument/2006/relationships/hyperlink" Target="https://tradingeconomics.com/commodity/zinc" TargetMode="External"/><Relationship Id="rId2" Type="http://schemas.openxmlformats.org/officeDocument/2006/relationships/hyperlink" Target="https://www.mining.com/web/graphite-deficit-starting-this-year-as-demand-for-ev-battery-anode-ingredient-exceeds-supply/" TargetMode="External"/><Relationship Id="rId16" Type="http://schemas.openxmlformats.org/officeDocument/2006/relationships/hyperlink" Target="https://www.indexbox.io/blog/graphite-price-per-ton-may-2022/" TargetMode="External"/><Relationship Id="rId20" Type="http://schemas.openxmlformats.org/officeDocument/2006/relationships/hyperlink" Target="https://www.statista.com/statistics/452304/graphite-prices-worldwide-prediction-by-flake-grade/" TargetMode="External"/><Relationship Id="rId1" Type="http://schemas.openxmlformats.org/officeDocument/2006/relationships/hyperlink" Target="https://moneyexchangerate.org/currencyexchange/cny/usd/" TargetMode="External"/><Relationship Id="rId6" Type="http://schemas.openxmlformats.org/officeDocument/2006/relationships/hyperlink" Target="https://tradingeconomics.com/commodity/lithium" TargetMode="External"/><Relationship Id="rId11" Type="http://schemas.openxmlformats.org/officeDocument/2006/relationships/hyperlink" Target="https://tradingeconomics.com/commodity/aluminum" TargetMode="External"/><Relationship Id="rId5" Type="http://schemas.openxmlformats.org/officeDocument/2006/relationships/hyperlink" Target="https://tradingeconomics.com/commodity/nickel" TargetMode="External"/><Relationship Id="rId15" Type="http://schemas.openxmlformats.org/officeDocument/2006/relationships/hyperlink" Target="https://www.sciencedirect.com/science/article/pii/S2352152X22019521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tradingeconomics.com/commodity/neodymium" TargetMode="External"/><Relationship Id="rId19" Type="http://schemas.openxmlformats.org/officeDocument/2006/relationships/hyperlink" Target="https://tradingeconomics.com/commodity/soda-ash" TargetMode="External"/><Relationship Id="rId4" Type="http://schemas.openxmlformats.org/officeDocument/2006/relationships/hyperlink" Target="https://www.quora.com/How-much-lithium-in-kg-is-used-in-an-electric-car" TargetMode="External"/><Relationship Id="rId9" Type="http://schemas.openxmlformats.org/officeDocument/2006/relationships/hyperlink" Target="https://tradingeconomics.com/commodity/cobalt" TargetMode="External"/><Relationship Id="rId14" Type="http://schemas.openxmlformats.org/officeDocument/2006/relationships/hyperlink" Target="https://www.indexbox.io/blog/sodium-carbonate-price-per-ton-in-august-2022/" TargetMode="External"/><Relationship Id="rId22" Type="http://schemas.openxmlformats.org/officeDocument/2006/relationships/hyperlink" Target="https://www.sciencedirect.com/science/article/pii/S2352152X22019521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ista.com/statistics/264954/world-magnesium-production/" TargetMode="External"/><Relationship Id="rId2" Type="http://schemas.openxmlformats.org/officeDocument/2006/relationships/hyperlink" Target="https://www.statista.com/statistics/569515/primary-magnesium-production-worldwide/" TargetMode="External"/><Relationship Id="rId1" Type="http://schemas.openxmlformats.org/officeDocument/2006/relationships/hyperlink" Target="https://en.wikipedia.org/wiki/List_of_countries_by_magnesium_production" TargetMode="External"/><Relationship Id="rId5" Type="http://schemas.openxmlformats.org/officeDocument/2006/relationships/printerSettings" Target="../printerSettings/printerSettings10.bin"/><Relationship Id="rId4" Type="http://schemas.openxmlformats.org/officeDocument/2006/relationships/hyperlink" Target="https://www.statista.com/statistics/264953/global-reserves-of-magnesium-by-major-countries/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sgs.gov/centers/national-minerals-information-center/manganese-statistics-and-information" TargetMode="External"/><Relationship Id="rId3" Type="http://schemas.openxmlformats.org/officeDocument/2006/relationships/hyperlink" Target="https://www.statista.com/statistics/247609/world-manganese-reserves/" TargetMode="External"/><Relationship Id="rId7" Type="http://schemas.openxmlformats.org/officeDocument/2006/relationships/hyperlink" Target="https://www.fastmarkets.com/insights/overlooked-battery-material-manganese-sulfate-could-experience-supply-deficit-in-next-ten-years" TargetMode="External"/><Relationship Id="rId2" Type="http://schemas.openxmlformats.org/officeDocument/2006/relationships/hyperlink" Target="https://www.statista.com/statistics/247609/world-manganese-reserves/" TargetMode="External"/><Relationship Id="rId1" Type="http://schemas.openxmlformats.org/officeDocument/2006/relationships/hyperlink" Target="https://investingnews.com/daily/resource-investing/battery-metals-investing/manganese-investing/manganese-reserves/" TargetMode="External"/><Relationship Id="rId6" Type="http://schemas.openxmlformats.org/officeDocument/2006/relationships/hyperlink" Target="https://www.fastmarkets.com/insights/overlooked-battery-material-manganese-sulfate-could-experience-supply-deficit-in-next-ten-years" TargetMode="External"/><Relationship Id="rId5" Type="http://schemas.openxmlformats.org/officeDocument/2006/relationships/hyperlink" Target="https://pubs.usgs.gov/periodicals/mcs2023/mcs2023-manganese.pdf" TargetMode="External"/><Relationship Id="rId4" Type="http://schemas.openxmlformats.org/officeDocument/2006/relationships/hyperlink" Target="https://en.wikipedia.org/wiki/List_of_countries_by_manganese_production" TargetMode="External"/><Relationship Id="rId9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ista.com/statistics/267367/reserves-of-graphite-by-country/" TargetMode="External"/><Relationship Id="rId2" Type="http://schemas.openxmlformats.org/officeDocument/2006/relationships/hyperlink" Target="https://www.statista.com/statistics/1172356/global-graphite-reservers/" TargetMode="External"/><Relationship Id="rId1" Type="http://schemas.openxmlformats.org/officeDocument/2006/relationships/hyperlink" Target="https://www.statista.com/statistics/267366/world-graphite-production/" TargetMode="External"/><Relationship Id="rId6" Type="http://schemas.openxmlformats.org/officeDocument/2006/relationships/hyperlink" Target="https://www.pv-magazine.com/2021/04/23/worlds-first-battery-grade-graphite-producer-outside-of-china/" TargetMode="External"/><Relationship Id="rId5" Type="http://schemas.openxmlformats.org/officeDocument/2006/relationships/hyperlink" Target="https://natural-resources.canada.ca/our-natural-resources/minerals-mining/minerals-metals-facts/graphite-facts/24027" TargetMode="External"/><Relationship Id="rId4" Type="http://schemas.openxmlformats.org/officeDocument/2006/relationships/hyperlink" Target="https://natural-resources.canada.ca/our-natural-resources/minerals-mining/minerals-metals-facts/graphite-facts/24027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orldoceanreview.com/en/wor-3/mineral-resources/cobalt-crusts/?ssp=1&amp;darkschemeovr=1&amp;setlang=en-XL&amp;safesearch=moderate" TargetMode="External"/><Relationship Id="rId3" Type="http://schemas.openxmlformats.org/officeDocument/2006/relationships/hyperlink" Target="https://cambridgehouse.com/news/8707/how-evs-will-forever-change-the-copper-landscape" TargetMode="External"/><Relationship Id="rId7" Type="http://schemas.openxmlformats.org/officeDocument/2006/relationships/hyperlink" Target="https://worldoceanreview.com/en/wor-3/mineral-resources/cobalt-crusts/?ssp=1&amp;darkschemeovr=1&amp;setlang=en-XL&amp;safesearch=moderate" TargetMode="External"/><Relationship Id="rId2" Type="http://schemas.openxmlformats.org/officeDocument/2006/relationships/hyperlink" Target="https://www.youtube.com/watch?v=l6T9xIeZTds&amp;t=4628s" TargetMode="External"/><Relationship Id="rId1" Type="http://schemas.openxmlformats.org/officeDocument/2006/relationships/hyperlink" Target="https://geology.com/usgs/manganese/" TargetMode="External"/><Relationship Id="rId6" Type="http://schemas.openxmlformats.org/officeDocument/2006/relationships/hyperlink" Target="https://worldoceanreview.com/en/wor-3/mineral-resources/cobalt-crusts/?ssp=1&amp;darkschemeovr=1&amp;setlang=en-XL&amp;safesearch=moderate" TargetMode="External"/><Relationship Id="rId5" Type="http://schemas.openxmlformats.org/officeDocument/2006/relationships/hyperlink" Target="https://en.wikipedia.org/wiki/Copper_extraction" TargetMode="External"/><Relationship Id="rId10" Type="http://schemas.openxmlformats.org/officeDocument/2006/relationships/printerSettings" Target="../printerSettings/printerSettings12.bin"/><Relationship Id="rId4" Type="http://schemas.openxmlformats.org/officeDocument/2006/relationships/hyperlink" Target="https://www.youtube.com/watch?v=l6T9xIeZTds&amp;t=4628s" TargetMode="External"/><Relationship Id="rId9" Type="http://schemas.openxmlformats.org/officeDocument/2006/relationships/hyperlink" Target="https://worldoceanreview.com/en/wor-3/mineral-resources/cobalt-crusts/?ssp=1&amp;darkschemeovr=1&amp;setlang=en-XL&amp;safesearch=moderate" TargetMode="External"/></Relationships>
</file>

<file path=xl/worksheets/_rels/sheet1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orldsteel.org/steel-topics/statistics/world-steel-in-figures-2022/" TargetMode="External"/><Relationship Id="rId21" Type="http://schemas.openxmlformats.org/officeDocument/2006/relationships/hyperlink" Target="https://worldoceanreview.com/en/wor-3/mineral-resources/cobalt-crusts/?ssp=1&amp;darkschemeovr=1&amp;setlang=en-XL&amp;safesearch=moderate" TargetMode="External"/><Relationship Id="rId42" Type="http://schemas.openxmlformats.org/officeDocument/2006/relationships/hyperlink" Target="https://worldoceanreview.com/en/wor-3/mineral-resources/cobalt-crusts/?ssp=1&amp;darkschemeovr=1&amp;setlang=en-XL&amp;safesearch=moderate" TargetMode="External"/><Relationship Id="rId63" Type="http://schemas.openxmlformats.org/officeDocument/2006/relationships/hyperlink" Target="https://worldoceanreview.com/en/wor-3/mineral-resources/cobalt-crusts/?ssp=1&amp;darkschemeovr=1&amp;setlang=en-XL&amp;safesearch=moderate" TargetMode="External"/><Relationship Id="rId84" Type="http://schemas.openxmlformats.org/officeDocument/2006/relationships/hyperlink" Target="https://worldoceanreview.com/en/wor-3/mineral-resources/cobalt-crusts/?ssp=1&amp;darkschemeovr=1&amp;setlang=en-XL&amp;safesearch=moderate" TargetMode="External"/><Relationship Id="rId138" Type="http://schemas.openxmlformats.org/officeDocument/2006/relationships/hyperlink" Target="https://www.iea.org/data-and-statistics/charts/global-coal-production-2018-2021" TargetMode="External"/><Relationship Id="rId159" Type="http://schemas.openxmlformats.org/officeDocument/2006/relationships/hyperlink" Target="https://en.wikipedia.org/wiki/Lithium" TargetMode="External"/><Relationship Id="rId170" Type="http://schemas.openxmlformats.org/officeDocument/2006/relationships/hyperlink" Target="https://pubs.usgs.gov/periodicals/mcs2021/mcs2021-tellurium.pdf" TargetMode="External"/><Relationship Id="rId191" Type="http://schemas.openxmlformats.org/officeDocument/2006/relationships/hyperlink" Target="https://www.sciencedirect.com/science/article/pii/S2352152X22019521" TargetMode="External"/><Relationship Id="rId196" Type="http://schemas.openxmlformats.org/officeDocument/2006/relationships/hyperlink" Target="https://www.statista.com/statistics/1074019/sodium-carbonate-reserves-worldwide-by-country/" TargetMode="External"/><Relationship Id="rId16" Type="http://schemas.openxmlformats.org/officeDocument/2006/relationships/hyperlink" Target="https://worldoceanreview.com/en/wor-3/mineral-resources/cobalt-crusts/?ssp=1&amp;darkschemeovr=1&amp;setlang=en-XL&amp;safesearch=moderate" TargetMode="External"/><Relationship Id="rId107" Type="http://schemas.openxmlformats.org/officeDocument/2006/relationships/hyperlink" Target="https://www.youtube.com/watch?v=l6T9xIeZTds&amp;t=4628s" TargetMode="External"/><Relationship Id="rId11" Type="http://schemas.openxmlformats.org/officeDocument/2006/relationships/hyperlink" Target="https://tradingeconomics.com/commodity/copper" TargetMode="External"/><Relationship Id="rId32" Type="http://schemas.openxmlformats.org/officeDocument/2006/relationships/hyperlink" Target="https://worldoceanreview.com/en/wor-3/mineral-resources/cobalt-crusts/?ssp=1&amp;darkschemeovr=1&amp;setlang=en-XL&amp;safesearch=moderate" TargetMode="External"/><Relationship Id="rId37" Type="http://schemas.openxmlformats.org/officeDocument/2006/relationships/hyperlink" Target="https://worldoceanreview.com/en/wor-3/mineral-resources/cobalt-crusts/?ssp=1&amp;darkschemeovr=1&amp;setlang=en-XL&amp;safesearch=moderate" TargetMode="External"/><Relationship Id="rId53" Type="http://schemas.openxmlformats.org/officeDocument/2006/relationships/hyperlink" Target="https://worldoceanreview.com/en/wor-3/mineral-resources/cobalt-crusts/?ssp=1&amp;darkschemeovr=1&amp;setlang=en-XL&amp;safesearch=moderate" TargetMode="External"/><Relationship Id="rId58" Type="http://schemas.openxmlformats.org/officeDocument/2006/relationships/hyperlink" Target="https://worldoceanreview.com/en/wor-3/mineral-resources/cobalt-crusts/?ssp=1&amp;darkschemeovr=1&amp;setlang=en-XL&amp;safesearch=moderate" TargetMode="External"/><Relationship Id="rId74" Type="http://schemas.openxmlformats.org/officeDocument/2006/relationships/hyperlink" Target="https://worldoceanreview.com/en/wor-3/mineral-resources/cobalt-crusts/?ssp=1&amp;darkschemeovr=1&amp;setlang=en-XL&amp;safesearch=moderate" TargetMode="External"/><Relationship Id="rId79" Type="http://schemas.openxmlformats.org/officeDocument/2006/relationships/hyperlink" Target="https://worldoceanreview.com/en/wor-3/mineral-resources/cobalt-crusts/?ssp=1&amp;darkschemeovr=1&amp;setlang=en-XL&amp;safesearch=moderate" TargetMode="External"/><Relationship Id="rId102" Type="http://schemas.openxmlformats.org/officeDocument/2006/relationships/hyperlink" Target="https://www.usgs.gov/publications/vanadium" TargetMode="External"/><Relationship Id="rId123" Type="http://schemas.openxmlformats.org/officeDocument/2006/relationships/hyperlink" Target="https://www.statista.com/statistics/271671/countries-with-largest-bauxite-reserves/" TargetMode="External"/><Relationship Id="rId128" Type="http://schemas.openxmlformats.org/officeDocument/2006/relationships/hyperlink" Target="https://tradingeconomics.com/commodity/aluminum" TargetMode="External"/><Relationship Id="rId144" Type="http://schemas.openxmlformats.org/officeDocument/2006/relationships/hyperlink" Target="https://tradingeconomics.com/commodity/coal" TargetMode="External"/><Relationship Id="rId149" Type="http://schemas.openxmlformats.org/officeDocument/2006/relationships/hyperlink" Target="https://en.wikipedia.org/wiki/List_of_countries_by_manganese_production" TargetMode="External"/><Relationship Id="rId5" Type="http://schemas.openxmlformats.org/officeDocument/2006/relationships/hyperlink" Target="https://pubs.usgs.gov/periodicals/mcs2023/mcs2023-manganese.pdf" TargetMode="External"/><Relationship Id="rId90" Type="http://schemas.openxmlformats.org/officeDocument/2006/relationships/hyperlink" Target="https://worldoceanreview.com/en/wor-3/mineral-resources/cobalt-crusts/?ssp=1&amp;darkschemeovr=1&amp;setlang=en-XL&amp;safesearch=moderate" TargetMode="External"/><Relationship Id="rId95" Type="http://schemas.openxmlformats.org/officeDocument/2006/relationships/hyperlink" Target="https://worldoceanreview.com/en/wor-3/mineral-resources/cobalt-crusts/?ssp=1&amp;darkschemeovr=1&amp;setlang=en-XL&amp;safesearch=moderate" TargetMode="External"/><Relationship Id="rId160" Type="http://schemas.openxmlformats.org/officeDocument/2006/relationships/hyperlink" Target="https://www.statista.com/statistics/264928/cobalt-mine-production-by-country/" TargetMode="External"/><Relationship Id="rId165" Type="http://schemas.openxmlformats.org/officeDocument/2006/relationships/hyperlink" Target="https://www.unitconverters.net/weight-and-mass/oz-to-kg.htm" TargetMode="External"/><Relationship Id="rId181" Type="http://schemas.openxmlformats.org/officeDocument/2006/relationships/hyperlink" Target="https://www.statista.com/statistics/759972/mine-production-titanium-minerals-worldwide-by-country/" TargetMode="External"/><Relationship Id="rId186" Type="http://schemas.openxmlformats.org/officeDocument/2006/relationships/hyperlink" Target="https://natural-resources.canada.ca/our-natural-resources/minerals-mining/minerals-metals-facts/graphite-facts/24027" TargetMode="External"/><Relationship Id="rId22" Type="http://schemas.openxmlformats.org/officeDocument/2006/relationships/hyperlink" Target="https://worldoceanreview.com/en/wor-3/mineral-resources/cobalt-crusts/?ssp=1&amp;darkschemeovr=1&amp;setlang=en-XL&amp;safesearch=moderate" TargetMode="External"/><Relationship Id="rId27" Type="http://schemas.openxmlformats.org/officeDocument/2006/relationships/hyperlink" Target="https://worldoceanreview.com/en/wor-3/mineral-resources/cobalt-crusts/?ssp=1&amp;darkschemeovr=1&amp;setlang=en-XL&amp;safesearch=moderate" TargetMode="External"/><Relationship Id="rId43" Type="http://schemas.openxmlformats.org/officeDocument/2006/relationships/hyperlink" Target="https://worldoceanreview.com/en/wor-3/mineral-resources/cobalt-crusts/?ssp=1&amp;darkschemeovr=1&amp;setlang=en-XL&amp;safesearch=moderate" TargetMode="External"/><Relationship Id="rId48" Type="http://schemas.openxmlformats.org/officeDocument/2006/relationships/hyperlink" Target="https://worldoceanreview.com/en/wor-3/mineral-resources/cobalt-crusts/?ssp=1&amp;darkschemeovr=1&amp;setlang=en-XL&amp;safesearch=moderate" TargetMode="External"/><Relationship Id="rId64" Type="http://schemas.openxmlformats.org/officeDocument/2006/relationships/hyperlink" Target="https://worldoceanreview.com/en/wor-3/mineral-resources/manganese-nodules/" TargetMode="External"/><Relationship Id="rId69" Type="http://schemas.openxmlformats.org/officeDocument/2006/relationships/hyperlink" Target="https://worldoceanreview.com/en/wor-3/mineral-resources/cobalt-crusts/?ssp=1&amp;darkschemeovr=1&amp;setlang=en-XL&amp;safesearch=moderate" TargetMode="External"/><Relationship Id="rId113" Type="http://schemas.openxmlformats.org/officeDocument/2006/relationships/hyperlink" Target="https://www.statista.com/statistics/264928/cobalt-mine-production-by-country/" TargetMode="External"/><Relationship Id="rId118" Type="http://schemas.openxmlformats.org/officeDocument/2006/relationships/hyperlink" Target="https://tradingeconomics.com/commodity/steel" TargetMode="External"/><Relationship Id="rId134" Type="http://schemas.openxmlformats.org/officeDocument/2006/relationships/hyperlink" Target="https://www.statista.com/statistics/264878/world-production-of-zinc-metal/" TargetMode="External"/><Relationship Id="rId139" Type="http://schemas.openxmlformats.org/officeDocument/2006/relationships/hyperlink" Target="https://www.opec.org/opec_web/en/data_graphs/330.htm" TargetMode="External"/><Relationship Id="rId80" Type="http://schemas.openxmlformats.org/officeDocument/2006/relationships/hyperlink" Target="https://worldoceanreview.com/en/wor-3/mineral-resources/cobalt-crusts/?ssp=1&amp;darkschemeovr=1&amp;setlang=en-XL&amp;safesearch=moderate" TargetMode="External"/><Relationship Id="rId85" Type="http://schemas.openxmlformats.org/officeDocument/2006/relationships/hyperlink" Target="https://worldoceanreview.com/en/wor-3/mineral-resources/cobalt-crusts/?ssp=1&amp;darkschemeovr=1&amp;setlang=en-XL&amp;safesearch=moderate" TargetMode="External"/><Relationship Id="rId150" Type="http://schemas.openxmlformats.org/officeDocument/2006/relationships/hyperlink" Target="https://www.statista.com/statistics/1244066/global-manganese-production-volume-by-country/" TargetMode="External"/><Relationship Id="rId155" Type="http://schemas.openxmlformats.org/officeDocument/2006/relationships/hyperlink" Target="https://www.kitco.com/news/2023-02-06/Global-nickel-production-up-21-in-2022-as-Indonesian-output-jumps-54.html" TargetMode="External"/><Relationship Id="rId171" Type="http://schemas.openxmlformats.org/officeDocument/2006/relationships/hyperlink" Target="https://www.trade.gov/sites/default/files/2021-03/Global%20Report%202019%20.pdf" TargetMode="External"/><Relationship Id="rId176" Type="http://schemas.openxmlformats.org/officeDocument/2006/relationships/hyperlink" Target="https://en.wikipedia.org/wiki/List_of_countries_by_oil_production" TargetMode="External"/><Relationship Id="rId192" Type="http://schemas.openxmlformats.org/officeDocument/2006/relationships/hyperlink" Target="https://www.sciencedirect.com/science/article/pii/S2352152X22019521" TargetMode="External"/><Relationship Id="rId197" Type="http://schemas.openxmlformats.org/officeDocument/2006/relationships/hyperlink" Target="https://data.worldbank.org/indicator/NY.GDP.MKTP.CD" TargetMode="External"/><Relationship Id="rId12" Type="http://schemas.openxmlformats.org/officeDocument/2006/relationships/hyperlink" Target="https://tradingeconomics.com/commodity/titanium" TargetMode="External"/><Relationship Id="rId17" Type="http://schemas.openxmlformats.org/officeDocument/2006/relationships/hyperlink" Target="https://worldoceanreview.com/en/wor-3/mineral-resources/cobalt-crusts/?ssp=1&amp;darkschemeovr=1&amp;setlang=en-XL&amp;safesearch=moderate" TargetMode="External"/><Relationship Id="rId33" Type="http://schemas.openxmlformats.org/officeDocument/2006/relationships/hyperlink" Target="https://worldoceanreview.com/en/wor-3/mineral-resources/cobalt-crusts/?ssp=1&amp;darkschemeovr=1&amp;setlang=en-XL&amp;safesearch=moderate" TargetMode="External"/><Relationship Id="rId38" Type="http://schemas.openxmlformats.org/officeDocument/2006/relationships/hyperlink" Target="https://worldoceanreview.com/en/wor-3/mineral-resources/cobalt-crusts/?ssp=1&amp;darkschemeovr=1&amp;setlang=en-XL&amp;safesearch=moderate" TargetMode="External"/><Relationship Id="rId59" Type="http://schemas.openxmlformats.org/officeDocument/2006/relationships/hyperlink" Target="https://worldoceanreview.com/en/wor-3/mineral-resources/cobalt-crusts/?ssp=1&amp;darkschemeovr=1&amp;setlang=en-XL&amp;safesearch=moderate" TargetMode="External"/><Relationship Id="rId103" Type="http://schemas.openxmlformats.org/officeDocument/2006/relationships/hyperlink" Target="https://tradingeconomics.com/commodity/molybden" TargetMode="External"/><Relationship Id="rId108" Type="http://schemas.openxmlformats.org/officeDocument/2006/relationships/hyperlink" Target="https://www.statista.com/statistics/606684/world-production-of-lithium/?ssp=1&amp;darkschemeovr=1&amp;setlang=en-XL&amp;safesearch=moderate" TargetMode="External"/><Relationship Id="rId124" Type="http://schemas.openxmlformats.org/officeDocument/2006/relationships/hyperlink" Target="https://international-aluminium.org/statistics/primary-aluminium-production/" TargetMode="External"/><Relationship Id="rId129" Type="http://schemas.openxmlformats.org/officeDocument/2006/relationships/hyperlink" Target="https://www.statista.com/statistics/264964/production-of-bauxite/" TargetMode="External"/><Relationship Id="rId54" Type="http://schemas.openxmlformats.org/officeDocument/2006/relationships/hyperlink" Target="https://worldoceanreview.com/en/wor-3/mineral-resources/cobalt-crusts/?ssp=1&amp;darkschemeovr=1&amp;setlang=en-XL&amp;safesearch=moderate" TargetMode="External"/><Relationship Id="rId70" Type="http://schemas.openxmlformats.org/officeDocument/2006/relationships/hyperlink" Target="https://worldoceanreview.com/en/wor-3/mineral-resources/cobalt-crusts/?ssp=1&amp;darkschemeovr=1&amp;setlang=en-XL&amp;safesearch=moderate" TargetMode="External"/><Relationship Id="rId75" Type="http://schemas.openxmlformats.org/officeDocument/2006/relationships/hyperlink" Target="https://worldoceanreview.com/en/wor-3/mineral-resources/cobalt-crusts/?ssp=1&amp;darkschemeovr=1&amp;setlang=en-XL&amp;safesearch=moderate" TargetMode="External"/><Relationship Id="rId91" Type="http://schemas.openxmlformats.org/officeDocument/2006/relationships/hyperlink" Target="https://worldoceanreview.com/en/wor-3/mineral-resources/cobalt-crusts/?ssp=1&amp;darkschemeovr=1&amp;setlang=en-XL&amp;safesearch=moderate" TargetMode="External"/><Relationship Id="rId96" Type="http://schemas.openxmlformats.org/officeDocument/2006/relationships/hyperlink" Target="https://worldoceanreview.com/en/wor-3/mineral-resources/cobalt-crusts/?ssp=1&amp;darkschemeovr=1&amp;setlang=en-XL&amp;safesearch=moderate" TargetMode="External"/><Relationship Id="rId140" Type="http://schemas.openxmlformats.org/officeDocument/2006/relationships/hyperlink" Target="https://www.linkedin.com/pulse/why-we-say-1-ton-crude-oil-equals-733-barrels-seraph-liu/" TargetMode="External"/><Relationship Id="rId145" Type="http://schemas.openxmlformats.org/officeDocument/2006/relationships/hyperlink" Target="https://en.wikipedia.org/wiki/List_of_countries_by_coal_production" TargetMode="External"/><Relationship Id="rId161" Type="http://schemas.openxmlformats.org/officeDocument/2006/relationships/hyperlink" Target="https://www.statista.com/statistics/1009356/tungsten-production-worldwide-by-country/" TargetMode="External"/><Relationship Id="rId166" Type="http://schemas.openxmlformats.org/officeDocument/2006/relationships/hyperlink" Target="https://www.statista.com/topics/3039/platinum/" TargetMode="External"/><Relationship Id="rId182" Type="http://schemas.openxmlformats.org/officeDocument/2006/relationships/hyperlink" Target="https://www.sciencedirect.com/science/article/abs/pii/S0892687520302703" TargetMode="External"/><Relationship Id="rId187" Type="http://schemas.openxmlformats.org/officeDocument/2006/relationships/hyperlink" Target="https://www.statista.com/statistics/1172356/global-graphite-reservers/" TargetMode="External"/><Relationship Id="rId1" Type="http://schemas.openxmlformats.org/officeDocument/2006/relationships/hyperlink" Target="https://worldoceanreview.com/en/wor-3/mineral-resources/cobalt-crusts/?ssp=1&amp;darkschemeovr=1&amp;setlang=en-XL&amp;safesearch=moderate" TargetMode="External"/><Relationship Id="rId6" Type="http://schemas.openxmlformats.org/officeDocument/2006/relationships/hyperlink" Target="https://worldoceanreview.com/en/wor-3/mineral-resources/cobalt-crusts/?ssp=1&amp;darkschemeovr=1&amp;setlang=en-XL&amp;safesearch=moderate" TargetMode="External"/><Relationship Id="rId23" Type="http://schemas.openxmlformats.org/officeDocument/2006/relationships/hyperlink" Target="https://worldoceanreview.com/en/wor-3/mineral-resources/cobalt-crusts/?ssp=1&amp;darkschemeovr=1&amp;setlang=en-XL&amp;safesearch=moderate" TargetMode="External"/><Relationship Id="rId28" Type="http://schemas.openxmlformats.org/officeDocument/2006/relationships/hyperlink" Target="https://worldoceanreview.com/en/wor-3/mineral-resources/cobalt-crusts/?ssp=1&amp;darkschemeovr=1&amp;setlang=en-XL&amp;safesearch=moderate" TargetMode="External"/><Relationship Id="rId49" Type="http://schemas.openxmlformats.org/officeDocument/2006/relationships/hyperlink" Target="https://worldoceanreview.com/en/wor-3/mineral-resources/cobalt-crusts/?ssp=1&amp;darkschemeovr=1&amp;setlang=en-XL&amp;safesearch=moderate" TargetMode="External"/><Relationship Id="rId114" Type="http://schemas.openxmlformats.org/officeDocument/2006/relationships/hyperlink" Target="https://tradingeconomics.com/commodity/cobalt" TargetMode="External"/><Relationship Id="rId119" Type="http://schemas.openxmlformats.org/officeDocument/2006/relationships/hyperlink" Target="https://tradingeconomics.com/commodity/iron-ore" TargetMode="External"/><Relationship Id="rId44" Type="http://schemas.openxmlformats.org/officeDocument/2006/relationships/hyperlink" Target="https://worldoceanreview.com/en/wor-3/mineral-resources/cobalt-crusts/?ssp=1&amp;darkschemeovr=1&amp;setlang=en-XL&amp;safesearch=moderate" TargetMode="External"/><Relationship Id="rId60" Type="http://schemas.openxmlformats.org/officeDocument/2006/relationships/hyperlink" Target="https://worldoceanreview.com/en/wor-3/mineral-resources/cobalt-crusts/?ssp=1&amp;darkschemeovr=1&amp;setlang=en-XL&amp;safesearch=moderate" TargetMode="External"/><Relationship Id="rId65" Type="http://schemas.openxmlformats.org/officeDocument/2006/relationships/hyperlink" Target="https://worldoceanreview.com/en/wor-3/mineral-resources/cobalt-crusts/?ssp=1&amp;darkschemeovr=1&amp;setlang=en-XL&amp;safesearch=moderate" TargetMode="External"/><Relationship Id="rId81" Type="http://schemas.openxmlformats.org/officeDocument/2006/relationships/hyperlink" Target="https://worldoceanreview.com/en/wor-3/mineral-resources/cobalt-crusts/?ssp=1&amp;darkschemeovr=1&amp;setlang=en-XL&amp;safesearch=moderate" TargetMode="External"/><Relationship Id="rId86" Type="http://schemas.openxmlformats.org/officeDocument/2006/relationships/hyperlink" Target="https://worldoceanreview.com/en/wor-3/mineral-resources/cobalt-crusts/?ssp=1&amp;darkschemeovr=1&amp;setlang=en-XL&amp;safesearch=moderate" TargetMode="External"/><Relationship Id="rId130" Type="http://schemas.openxmlformats.org/officeDocument/2006/relationships/hyperlink" Target="https://tradingeconomics.com/commodity/magnesium" TargetMode="External"/><Relationship Id="rId135" Type="http://schemas.openxmlformats.org/officeDocument/2006/relationships/hyperlink" Target="https://www.statista.com/statistics/264634/zinc-production-by-country/" TargetMode="External"/><Relationship Id="rId151" Type="http://schemas.openxmlformats.org/officeDocument/2006/relationships/hyperlink" Target="https://www.visualcapitalist.com/visualizing-the-worlds-largest-copper-producers/" TargetMode="External"/><Relationship Id="rId156" Type="http://schemas.openxmlformats.org/officeDocument/2006/relationships/hyperlink" Target="https://investingnews.com/daily/resource-investing/battery-metals-investing/vanadium-investing/vanadium-producing-countries/" TargetMode="External"/><Relationship Id="rId177" Type="http://schemas.openxmlformats.org/officeDocument/2006/relationships/hyperlink" Target="https://www.statista.com/statistics/264101/world-natural-gas-production-by-country/" TargetMode="External"/><Relationship Id="rId198" Type="http://schemas.openxmlformats.org/officeDocument/2006/relationships/hyperlink" Target="https://www.youtube.com/watch?v=bZNL_8bUz6A&amp;t=1655s" TargetMode="External"/><Relationship Id="rId172" Type="http://schemas.openxmlformats.org/officeDocument/2006/relationships/hyperlink" Target="https://en.wikipedia.org/wiki/List_of_countries_by_iron_ore_production" TargetMode="External"/><Relationship Id="rId193" Type="http://schemas.openxmlformats.org/officeDocument/2006/relationships/hyperlink" Target="https://www.sciencedirect.com/science/article/pii/S2352152X22019521" TargetMode="External"/><Relationship Id="rId13" Type="http://schemas.openxmlformats.org/officeDocument/2006/relationships/hyperlink" Target="https://www.statista.com/statistics/1233840/mine-production-titanium-minerals-worldwide-by-type/" TargetMode="External"/><Relationship Id="rId18" Type="http://schemas.openxmlformats.org/officeDocument/2006/relationships/hyperlink" Target="https://worldoceanreview.com/en/wor-3/mineral-resources/cobalt-crusts/?ssp=1&amp;darkschemeovr=1&amp;setlang=en-XL&amp;safesearch=moderate" TargetMode="External"/><Relationship Id="rId39" Type="http://schemas.openxmlformats.org/officeDocument/2006/relationships/hyperlink" Target="https://worldoceanreview.com/en/wor-3/mineral-resources/cobalt-crusts/?ssp=1&amp;darkschemeovr=1&amp;setlang=en-XL&amp;safesearch=moderate" TargetMode="External"/><Relationship Id="rId109" Type="http://schemas.openxmlformats.org/officeDocument/2006/relationships/hyperlink" Target="https://tradingeconomics.com/commodity/lithium" TargetMode="External"/><Relationship Id="rId34" Type="http://schemas.openxmlformats.org/officeDocument/2006/relationships/hyperlink" Target="https://worldoceanreview.com/en/wor-3/mineral-resources/cobalt-crusts/?ssp=1&amp;darkschemeovr=1&amp;setlang=en-XL&amp;safesearch=moderate" TargetMode="External"/><Relationship Id="rId50" Type="http://schemas.openxmlformats.org/officeDocument/2006/relationships/hyperlink" Target="https://worldoceanreview.com/en/wor-3/mineral-resources/cobalt-crusts/?ssp=1&amp;darkschemeovr=1&amp;setlang=en-XL&amp;safesearch=moderate" TargetMode="External"/><Relationship Id="rId55" Type="http://schemas.openxmlformats.org/officeDocument/2006/relationships/hyperlink" Target="https://worldoceanreview.com/en/wor-3/mineral-resources/cobalt-crusts/?ssp=1&amp;darkschemeovr=1&amp;setlang=en-XL&amp;safesearch=moderate" TargetMode="External"/><Relationship Id="rId76" Type="http://schemas.openxmlformats.org/officeDocument/2006/relationships/hyperlink" Target="https://worldoceanreview.com/en/wor-3/mineral-resources/cobalt-crusts/?ssp=1&amp;darkschemeovr=1&amp;setlang=en-XL&amp;safesearch=moderate" TargetMode="External"/><Relationship Id="rId97" Type="http://schemas.openxmlformats.org/officeDocument/2006/relationships/hyperlink" Target="https://worldoceanreview.com/en/wor-3/mineral-resources/cobalt-crusts/?ssp=1&amp;darkschemeovr=1&amp;setlang=en-XL&amp;safesearch=moderate" TargetMode="External"/><Relationship Id="rId104" Type="http://schemas.openxmlformats.org/officeDocument/2006/relationships/hyperlink" Target="https://www.statista.com/statistics/598363/global-mine-production-of-molybdenum/" TargetMode="External"/><Relationship Id="rId120" Type="http://schemas.openxmlformats.org/officeDocument/2006/relationships/hyperlink" Target="https://www.statista.com/statistics/1156095/global-lead-reserves/" TargetMode="External"/><Relationship Id="rId125" Type="http://schemas.openxmlformats.org/officeDocument/2006/relationships/hyperlink" Target="https://en.wikipedia.org/wiki/List_of_countries_by_magnesium_production" TargetMode="External"/><Relationship Id="rId141" Type="http://schemas.openxmlformats.org/officeDocument/2006/relationships/hyperlink" Target="https://www.worldometers.info/gas/" TargetMode="External"/><Relationship Id="rId146" Type="http://schemas.openxmlformats.org/officeDocument/2006/relationships/hyperlink" Target="https://tradingeconomics.com/commodity/crude-oil" TargetMode="External"/><Relationship Id="rId167" Type="http://schemas.openxmlformats.org/officeDocument/2006/relationships/hyperlink" Target="https://pubs.usgs.gov/fs/2014/3064/pdf/fs2014-3064.pdf" TargetMode="External"/><Relationship Id="rId188" Type="http://schemas.openxmlformats.org/officeDocument/2006/relationships/hyperlink" Target="https://www.indexbox.io/blog/graphite-price-per-ton-may-2022/" TargetMode="External"/><Relationship Id="rId7" Type="http://schemas.openxmlformats.org/officeDocument/2006/relationships/hyperlink" Target="https://pubs.usgs.gov/periodicals/mcs2023/mcs2023-manganese.pdf" TargetMode="External"/><Relationship Id="rId71" Type="http://schemas.openxmlformats.org/officeDocument/2006/relationships/hyperlink" Target="https://worldoceanreview.com/en/wor-3/mineral-resources/cobalt-crusts/?ssp=1&amp;darkschemeovr=1&amp;setlang=en-XL&amp;safesearch=moderate" TargetMode="External"/><Relationship Id="rId92" Type="http://schemas.openxmlformats.org/officeDocument/2006/relationships/hyperlink" Target="https://worldoceanreview.com/en/wor-3/mineral-resources/cobalt-crusts/?ssp=1&amp;darkschemeovr=1&amp;setlang=en-XL&amp;safesearch=moderate" TargetMode="External"/><Relationship Id="rId162" Type="http://schemas.openxmlformats.org/officeDocument/2006/relationships/hyperlink" Target="https://pubs.usgs.gov/periodicals/mcs2023/mcs2023-tungsten.pdf" TargetMode="External"/><Relationship Id="rId183" Type="http://schemas.openxmlformats.org/officeDocument/2006/relationships/hyperlink" Target="https://www.linkedin.com/pulse/manganese-ore-processing-zenith-mineral-crusher/" TargetMode="External"/><Relationship Id="rId2" Type="http://schemas.openxmlformats.org/officeDocument/2006/relationships/hyperlink" Target="https://worldoceanreview.com/en/wor-3/mineral-resources/manganese-nodules/" TargetMode="External"/><Relationship Id="rId29" Type="http://schemas.openxmlformats.org/officeDocument/2006/relationships/hyperlink" Target="https://worldoceanreview.com/en/wor-3/mineral-resources/cobalt-crusts/?ssp=1&amp;darkschemeovr=1&amp;setlang=en-XL&amp;safesearch=moderate" TargetMode="External"/><Relationship Id="rId24" Type="http://schemas.openxmlformats.org/officeDocument/2006/relationships/hyperlink" Target="https://worldoceanreview.com/en/wor-3/mineral-resources/cobalt-crusts/?ssp=1&amp;darkschemeovr=1&amp;setlang=en-XL&amp;safesearch=moderate" TargetMode="External"/><Relationship Id="rId40" Type="http://schemas.openxmlformats.org/officeDocument/2006/relationships/hyperlink" Target="https://worldoceanreview.com/en/wor-3/mineral-resources/cobalt-crusts/?ssp=1&amp;darkschemeovr=1&amp;setlang=en-XL&amp;safesearch=moderate" TargetMode="External"/><Relationship Id="rId45" Type="http://schemas.openxmlformats.org/officeDocument/2006/relationships/hyperlink" Target="https://worldoceanreview.com/en/wor-3/mineral-resources/cobalt-crusts/?ssp=1&amp;darkschemeovr=1&amp;setlang=en-XL&amp;safesearch=moderate" TargetMode="External"/><Relationship Id="rId66" Type="http://schemas.openxmlformats.org/officeDocument/2006/relationships/hyperlink" Target="https://worldoceanreview.com/en/wor-3/mineral-resources/cobalt-crusts/?ssp=1&amp;darkschemeovr=1&amp;setlang=en-XL&amp;safesearch=moderate" TargetMode="External"/><Relationship Id="rId87" Type="http://schemas.openxmlformats.org/officeDocument/2006/relationships/hyperlink" Target="https://worldoceanreview.com/en/wor-3/mineral-resources/cobalt-crusts/?ssp=1&amp;darkschemeovr=1&amp;setlang=en-XL&amp;safesearch=moderate" TargetMode="External"/><Relationship Id="rId110" Type="http://schemas.openxmlformats.org/officeDocument/2006/relationships/hyperlink" Target="https://en.wikipedia.org/wiki/Lithium" TargetMode="External"/><Relationship Id="rId115" Type="http://schemas.openxmlformats.org/officeDocument/2006/relationships/hyperlink" Target="https://www.britannica.com/technology/iron-processing/Ores" TargetMode="External"/><Relationship Id="rId131" Type="http://schemas.openxmlformats.org/officeDocument/2006/relationships/hyperlink" Target="https://www.statista.com/statistics/264871/production-of-lead-worldwide/" TargetMode="External"/><Relationship Id="rId136" Type="http://schemas.openxmlformats.org/officeDocument/2006/relationships/hyperlink" Target="https://tradingeconomics.com/commodity/zinc" TargetMode="External"/><Relationship Id="rId157" Type="http://schemas.openxmlformats.org/officeDocument/2006/relationships/hyperlink" Target="https://www.statista.com/statistics/910853/global-mine-production-of-molybdenum-by-country/" TargetMode="External"/><Relationship Id="rId178" Type="http://schemas.openxmlformats.org/officeDocument/2006/relationships/hyperlink" Target="https://pubs.usgs.gov/periodicals/mcs2023/mcs2023-thallium.pdf" TargetMode="External"/><Relationship Id="rId61" Type="http://schemas.openxmlformats.org/officeDocument/2006/relationships/hyperlink" Target="https://worldoceanreview.com/en/wor-3/mineral-resources/cobalt-crusts/?ssp=1&amp;darkschemeovr=1&amp;setlang=en-XL&amp;safesearch=moderate" TargetMode="External"/><Relationship Id="rId82" Type="http://schemas.openxmlformats.org/officeDocument/2006/relationships/hyperlink" Target="https://worldoceanreview.com/en/wor-3/mineral-resources/cobalt-crusts/?ssp=1&amp;darkschemeovr=1&amp;setlang=en-XL&amp;safesearch=moderate" TargetMode="External"/><Relationship Id="rId152" Type="http://schemas.openxmlformats.org/officeDocument/2006/relationships/hyperlink" Target="https://www.statista.com/statistics/759972/mine-production-titanium-minerals-worldwide-by-country/" TargetMode="External"/><Relationship Id="rId173" Type="http://schemas.openxmlformats.org/officeDocument/2006/relationships/hyperlink" Target="https://www.statista.com/statistics/264624/global-production-of-aluminum-by-country/" TargetMode="External"/><Relationship Id="rId194" Type="http://schemas.openxmlformats.org/officeDocument/2006/relationships/hyperlink" Target="https://www.statista.com/statistics/587223/sodium-carbonate-production-worldwide/" TargetMode="External"/><Relationship Id="rId199" Type="http://schemas.openxmlformats.org/officeDocument/2006/relationships/printerSettings" Target="../printerSettings/printerSettings13.bin"/><Relationship Id="rId19" Type="http://schemas.openxmlformats.org/officeDocument/2006/relationships/hyperlink" Target="https://worldoceanreview.com/en/wor-3/mineral-resources/cobalt-crusts/?ssp=1&amp;darkschemeovr=1&amp;setlang=en-XL&amp;safesearch=moderate" TargetMode="External"/><Relationship Id="rId14" Type="http://schemas.openxmlformats.org/officeDocument/2006/relationships/hyperlink" Target="https://www.statista.com/statistics/1187186/global-rare-earths-mine-production/" TargetMode="External"/><Relationship Id="rId30" Type="http://schemas.openxmlformats.org/officeDocument/2006/relationships/hyperlink" Target="https://worldoceanreview.com/en/wor-3/mineral-resources/cobalt-crusts/?ssp=1&amp;darkschemeovr=1&amp;setlang=en-XL&amp;safesearch=moderate" TargetMode="External"/><Relationship Id="rId35" Type="http://schemas.openxmlformats.org/officeDocument/2006/relationships/hyperlink" Target="https://worldoceanreview.com/en/wor-3/mineral-resources/cobalt-crusts/?ssp=1&amp;darkschemeovr=1&amp;setlang=en-XL&amp;safesearch=moderate" TargetMode="External"/><Relationship Id="rId56" Type="http://schemas.openxmlformats.org/officeDocument/2006/relationships/hyperlink" Target="https://worldoceanreview.com/en/wor-3/mineral-resources/cobalt-crusts/?ssp=1&amp;darkschemeovr=1&amp;setlang=en-XL&amp;safesearch=moderate" TargetMode="External"/><Relationship Id="rId77" Type="http://schemas.openxmlformats.org/officeDocument/2006/relationships/hyperlink" Target="https://worldoceanreview.com/en/wor-3/mineral-resources/cobalt-crusts/?ssp=1&amp;darkschemeovr=1&amp;setlang=en-XL&amp;safesearch=moderate" TargetMode="External"/><Relationship Id="rId100" Type="http://schemas.openxmlformats.org/officeDocument/2006/relationships/hyperlink" Target="https://tradingeconomics.com/commodity/nickel" TargetMode="External"/><Relationship Id="rId105" Type="http://schemas.openxmlformats.org/officeDocument/2006/relationships/hyperlink" Target="https://investingnews.com/daily/resource-investing/industrial-metals-investing/molybdenum-investing/world-class-molybdenum-deposits/" TargetMode="External"/><Relationship Id="rId126" Type="http://schemas.openxmlformats.org/officeDocument/2006/relationships/hyperlink" Target="https://www.statista.com/statistics/264954/world-magnesium-production/" TargetMode="External"/><Relationship Id="rId147" Type="http://schemas.openxmlformats.org/officeDocument/2006/relationships/hyperlink" Target="https://tradingeconomics.com/commodity/uk-natural-gas" TargetMode="External"/><Relationship Id="rId168" Type="http://schemas.openxmlformats.org/officeDocument/2006/relationships/hyperlink" Target="https://en.wikipedia.org/wiki/List_of_countries_by_platinum_production" TargetMode="External"/><Relationship Id="rId8" Type="http://schemas.openxmlformats.org/officeDocument/2006/relationships/hyperlink" Target="https://tradingeconomics.com/commodity/coal" TargetMode="External"/><Relationship Id="rId51" Type="http://schemas.openxmlformats.org/officeDocument/2006/relationships/hyperlink" Target="https://worldoceanreview.com/en/wor-3/mineral-resources/cobalt-crusts/?ssp=1&amp;darkschemeovr=1&amp;setlang=en-XL&amp;safesearch=moderate" TargetMode="External"/><Relationship Id="rId72" Type="http://schemas.openxmlformats.org/officeDocument/2006/relationships/hyperlink" Target="https://worldoceanreview.com/en/wor-3/mineral-resources/cobalt-crusts/?ssp=1&amp;darkschemeovr=1&amp;setlang=en-XL&amp;safesearch=moderate" TargetMode="External"/><Relationship Id="rId93" Type="http://schemas.openxmlformats.org/officeDocument/2006/relationships/hyperlink" Target="https://worldoceanreview.com/en/wor-3/mineral-resources/cobalt-crusts/?ssp=1&amp;darkschemeovr=1&amp;setlang=en-XL&amp;safesearch=moderate" TargetMode="External"/><Relationship Id="rId98" Type="http://schemas.openxmlformats.org/officeDocument/2006/relationships/hyperlink" Target="https://www.kitco.com/news/2023-02-06/Global-nickel-production-up-21-in-2022-as-Indonesian-output-jumps-54.html" TargetMode="External"/><Relationship Id="rId121" Type="http://schemas.openxmlformats.org/officeDocument/2006/relationships/hyperlink" Target="https://www.statista.com/statistics/273639/global-zinc-reserves-by-country/" TargetMode="External"/><Relationship Id="rId142" Type="http://schemas.openxmlformats.org/officeDocument/2006/relationships/hyperlink" Target="https://www.statista.com/statistics/265229/global-oil-production-in-million-metric-tons/" TargetMode="External"/><Relationship Id="rId163" Type="http://schemas.openxmlformats.org/officeDocument/2006/relationships/hyperlink" Target="https://tradingeconomics.com/commodity/tellurium" TargetMode="External"/><Relationship Id="rId184" Type="http://schemas.openxmlformats.org/officeDocument/2006/relationships/hyperlink" Target="https://copperalliance.org/sustainable-copper/about-copper/cu-demand-long-term-availability/" TargetMode="External"/><Relationship Id="rId189" Type="http://schemas.openxmlformats.org/officeDocument/2006/relationships/hyperlink" Target="https://www.statista.com/statistics/267366/world-graphite-production/" TargetMode="External"/><Relationship Id="rId3" Type="http://schemas.openxmlformats.org/officeDocument/2006/relationships/hyperlink" Target="https://geology.com/usgs/manganese/" TargetMode="External"/><Relationship Id="rId25" Type="http://schemas.openxmlformats.org/officeDocument/2006/relationships/hyperlink" Target="https://worldoceanreview.com/en/wor-3/mineral-resources/cobalt-crusts/?ssp=1&amp;darkschemeovr=1&amp;setlang=en-XL&amp;safesearch=moderate" TargetMode="External"/><Relationship Id="rId46" Type="http://schemas.openxmlformats.org/officeDocument/2006/relationships/hyperlink" Target="https://worldoceanreview.com/en/wor-3/mineral-resources/cobalt-crusts/?ssp=1&amp;darkschemeovr=1&amp;setlang=en-XL&amp;safesearch=moderate" TargetMode="External"/><Relationship Id="rId67" Type="http://schemas.openxmlformats.org/officeDocument/2006/relationships/hyperlink" Target="https://worldoceanreview.com/en/wor-3/mineral-resources/cobalt-crusts/?ssp=1&amp;darkschemeovr=1&amp;setlang=en-XL&amp;safesearch=moderate" TargetMode="External"/><Relationship Id="rId116" Type="http://schemas.openxmlformats.org/officeDocument/2006/relationships/hyperlink" Target="https://www.statista.com/statistics/1168572/global-reserves-of-iron-ore/" TargetMode="External"/><Relationship Id="rId137" Type="http://schemas.openxmlformats.org/officeDocument/2006/relationships/hyperlink" Target="https://www.statista.com/statistics/265450/global-proved-reserves-of-coal/" TargetMode="External"/><Relationship Id="rId158" Type="http://schemas.openxmlformats.org/officeDocument/2006/relationships/hyperlink" Target="https://www.statista.com/statistics/1249871/share-of-the-global-lithium-ion-battery-manufacturing-capacity-by-country/?ssp=1&amp;darkschemeovr=1&amp;setlang=en-XL&amp;safesearch=moderate" TargetMode="External"/><Relationship Id="rId20" Type="http://schemas.openxmlformats.org/officeDocument/2006/relationships/hyperlink" Target="https://worldoceanreview.com/en/wor-3/mineral-resources/cobalt-crusts/?ssp=1&amp;darkschemeovr=1&amp;setlang=en-XL&amp;safesearch=moderate" TargetMode="External"/><Relationship Id="rId41" Type="http://schemas.openxmlformats.org/officeDocument/2006/relationships/hyperlink" Target="https://worldoceanreview.com/en/wor-3/mineral-resources/cobalt-crusts/?ssp=1&amp;darkschemeovr=1&amp;setlang=en-XL&amp;safesearch=moderate" TargetMode="External"/><Relationship Id="rId62" Type="http://schemas.openxmlformats.org/officeDocument/2006/relationships/hyperlink" Target="https://worldoceanreview.com/en/wor-3/mineral-resources/cobalt-crusts/?ssp=1&amp;darkschemeovr=1&amp;setlang=en-XL&amp;safesearch=moderate" TargetMode="External"/><Relationship Id="rId83" Type="http://schemas.openxmlformats.org/officeDocument/2006/relationships/hyperlink" Target="https://worldoceanreview.com/en/wor-3/mineral-resources/cobalt-crusts/?ssp=1&amp;darkschemeovr=1&amp;setlang=en-XL&amp;safesearch=moderate" TargetMode="External"/><Relationship Id="rId88" Type="http://schemas.openxmlformats.org/officeDocument/2006/relationships/hyperlink" Target="https://worldoceanreview.com/en/wor-3/mineral-resources/cobalt-crusts/?ssp=1&amp;darkschemeovr=1&amp;setlang=en-XL&amp;safesearch=moderate" TargetMode="External"/><Relationship Id="rId111" Type="http://schemas.openxmlformats.org/officeDocument/2006/relationships/hyperlink" Target="https://en.wikipedia.org/wiki/Lithium" TargetMode="External"/><Relationship Id="rId132" Type="http://schemas.openxmlformats.org/officeDocument/2006/relationships/hyperlink" Target="https://tradingeconomics.com/commodity/lead" TargetMode="External"/><Relationship Id="rId153" Type="http://schemas.openxmlformats.org/officeDocument/2006/relationships/hyperlink" Target="https://kyocera-sgstool.co.uk/titanium-resources/titanium-information-everything-you-need-to-know/titanium-ores/" TargetMode="External"/><Relationship Id="rId174" Type="http://schemas.openxmlformats.org/officeDocument/2006/relationships/hyperlink" Target="https://en.wikipedia.org/wiki/List_of_countries_by_magnesium_production" TargetMode="External"/><Relationship Id="rId179" Type="http://schemas.openxmlformats.org/officeDocument/2006/relationships/hyperlink" Target="https://www.epa.gov/radiation/tenorm-copper-mining-and-production-wastes?ssp=1&amp;darkschemeovr=1&amp;setlang=en-XL&amp;safesearch=moderate" TargetMode="External"/><Relationship Id="rId195" Type="http://schemas.openxmlformats.org/officeDocument/2006/relationships/hyperlink" Target="https://tradingeconomics.com/commodity/soda-ash" TargetMode="External"/><Relationship Id="rId190" Type="http://schemas.openxmlformats.org/officeDocument/2006/relationships/hyperlink" Target="https://www.sciencedirect.com/science/article/pii/S2352152X22019521" TargetMode="External"/><Relationship Id="rId15" Type="http://schemas.openxmlformats.org/officeDocument/2006/relationships/hyperlink" Target="https://tradingeconomics.com/commodity/neodymium" TargetMode="External"/><Relationship Id="rId36" Type="http://schemas.openxmlformats.org/officeDocument/2006/relationships/hyperlink" Target="https://worldoceanreview.com/en/wor-3/mineral-resources/cobalt-crusts/?ssp=1&amp;darkschemeovr=1&amp;setlang=en-XL&amp;safesearch=moderate" TargetMode="External"/><Relationship Id="rId57" Type="http://schemas.openxmlformats.org/officeDocument/2006/relationships/hyperlink" Target="https://worldoceanreview.com/en/wor-3/mineral-resources/cobalt-crusts/?ssp=1&amp;darkschemeovr=1&amp;setlang=en-XL&amp;safesearch=moderate" TargetMode="External"/><Relationship Id="rId106" Type="http://schemas.openxmlformats.org/officeDocument/2006/relationships/hyperlink" Target="https://www.youtube.com/watch?v=l6T9xIeZTds&amp;t=4628s" TargetMode="External"/><Relationship Id="rId127" Type="http://schemas.openxmlformats.org/officeDocument/2006/relationships/hyperlink" Target="https://www.statista.com/statistics/264953/global-reserves-of-magnesium-by-major-countries/" TargetMode="External"/><Relationship Id="rId10" Type="http://schemas.openxmlformats.org/officeDocument/2006/relationships/hyperlink" Target="https://www.mining-technology.com/comment/global-copper-output-grow/" TargetMode="External"/><Relationship Id="rId31" Type="http://schemas.openxmlformats.org/officeDocument/2006/relationships/hyperlink" Target="https://worldoceanreview.com/en/wor-3/mineral-resources/cobalt-crusts/?ssp=1&amp;darkschemeovr=1&amp;setlang=en-XL&amp;safesearch=moderate" TargetMode="External"/><Relationship Id="rId52" Type="http://schemas.openxmlformats.org/officeDocument/2006/relationships/hyperlink" Target="https://worldoceanreview.com/en/wor-3/mineral-resources/cobalt-crusts/?ssp=1&amp;darkschemeovr=1&amp;setlang=en-XL&amp;safesearch=moderate" TargetMode="External"/><Relationship Id="rId73" Type="http://schemas.openxmlformats.org/officeDocument/2006/relationships/hyperlink" Target="https://worldoceanreview.com/en/wor-3/mineral-resources/cobalt-crusts/?ssp=1&amp;darkschemeovr=1&amp;setlang=en-XL&amp;safesearch=moderate" TargetMode="External"/><Relationship Id="rId78" Type="http://schemas.openxmlformats.org/officeDocument/2006/relationships/hyperlink" Target="https://worldoceanreview.com/en/wor-3/mineral-resources/cobalt-crusts/?ssp=1&amp;darkschemeovr=1&amp;setlang=en-XL&amp;safesearch=moderate" TargetMode="External"/><Relationship Id="rId94" Type="http://schemas.openxmlformats.org/officeDocument/2006/relationships/hyperlink" Target="https://worldoceanreview.com/en/wor-3/mineral-resources/cobalt-crusts/?ssp=1&amp;darkschemeovr=1&amp;setlang=en-XL&amp;safesearch=moderate" TargetMode="External"/><Relationship Id="rId99" Type="http://schemas.openxmlformats.org/officeDocument/2006/relationships/hyperlink" Target="https://www.youtube.com/watch?v=l6T9xIeZTds&amp;t=4628s" TargetMode="External"/><Relationship Id="rId101" Type="http://schemas.openxmlformats.org/officeDocument/2006/relationships/hyperlink" Target="https://www.statista.com/statistics/1312474/vanadium-production-volume-worldwide/" TargetMode="External"/><Relationship Id="rId122" Type="http://schemas.openxmlformats.org/officeDocument/2006/relationships/hyperlink" Target="https://www.statista.com/statistics/799538/global-bauxite-production/" TargetMode="External"/><Relationship Id="rId143" Type="http://schemas.openxmlformats.org/officeDocument/2006/relationships/hyperlink" Target="https://www.statista.com/statistics/265344/total-global-natural-gas-production-since-1998/" TargetMode="External"/><Relationship Id="rId148" Type="http://schemas.openxmlformats.org/officeDocument/2006/relationships/hyperlink" Target="https://www.statista.com/statistics/1244066/global-manganese-production-volume-by-country/" TargetMode="External"/><Relationship Id="rId164" Type="http://schemas.openxmlformats.org/officeDocument/2006/relationships/hyperlink" Target="https://tradingeconomics.com/commodity/platinum" TargetMode="External"/><Relationship Id="rId169" Type="http://schemas.openxmlformats.org/officeDocument/2006/relationships/hyperlink" Target="https://www.statista.com/statistics/1168340/production-volume-of-tellurium-worldwide/" TargetMode="External"/><Relationship Id="rId185" Type="http://schemas.openxmlformats.org/officeDocument/2006/relationships/hyperlink" Target="https://copperalliance.org/sustainable-copper/about-copper/cu-demand-long-term-availability/" TargetMode="External"/><Relationship Id="rId4" Type="http://schemas.openxmlformats.org/officeDocument/2006/relationships/hyperlink" Target="https://tradingeconomics.com/commodity/manganese" TargetMode="External"/><Relationship Id="rId9" Type="http://schemas.openxmlformats.org/officeDocument/2006/relationships/hyperlink" Target="https://en.wikipedia.org/wiki/Copper_extraction" TargetMode="External"/><Relationship Id="rId180" Type="http://schemas.openxmlformats.org/officeDocument/2006/relationships/hyperlink" Target="https://www.metal.com/Tungsten" TargetMode="External"/><Relationship Id="rId26" Type="http://schemas.openxmlformats.org/officeDocument/2006/relationships/hyperlink" Target="https://worldoceanreview.com/en/wor-3/mineral-resources/cobalt-crusts/?ssp=1&amp;darkschemeovr=1&amp;setlang=en-XL&amp;safesearch=moderate" TargetMode="External"/><Relationship Id="rId47" Type="http://schemas.openxmlformats.org/officeDocument/2006/relationships/hyperlink" Target="https://worldoceanreview.com/en/wor-3/mineral-resources/cobalt-crusts/?ssp=1&amp;darkschemeovr=1&amp;setlang=en-XL&amp;safesearch=moderate" TargetMode="External"/><Relationship Id="rId68" Type="http://schemas.openxmlformats.org/officeDocument/2006/relationships/hyperlink" Target="https://worldoceanreview.com/en/wor-3/mineral-resources/cobalt-crusts/?ssp=1&amp;darkschemeovr=1&amp;setlang=en-XL&amp;safesearch=moderate" TargetMode="External"/><Relationship Id="rId89" Type="http://schemas.openxmlformats.org/officeDocument/2006/relationships/hyperlink" Target="https://worldoceanreview.com/en/wor-3/mineral-resources/cobalt-crusts/?ssp=1&amp;darkschemeovr=1&amp;setlang=en-XL&amp;safesearch=moderate" TargetMode="External"/><Relationship Id="rId112" Type="http://schemas.openxmlformats.org/officeDocument/2006/relationships/hyperlink" Target="https://www.statista.com/statistics/264930/global-cobalt-reserves/" TargetMode="External"/><Relationship Id="rId133" Type="http://schemas.openxmlformats.org/officeDocument/2006/relationships/hyperlink" Target="https://www.statista.com/statistics/264632/lead-mine-production-by-country/" TargetMode="External"/><Relationship Id="rId154" Type="http://schemas.openxmlformats.org/officeDocument/2006/relationships/hyperlink" Target="https://www.statista.com/statistics/270277/mining-of-rare-earths-by-country/" TargetMode="External"/><Relationship Id="rId175" Type="http://schemas.openxmlformats.org/officeDocument/2006/relationships/hyperlink" Target="https://www.statista.com/statistics/264954/world-magnesium-production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ining.com/all-the-mines-tesla-needs-to-build-20-million-cars-a-year/" TargetMode="External"/><Relationship Id="rId13" Type="http://schemas.openxmlformats.org/officeDocument/2006/relationships/hyperlink" Target="https://www.statista.com/statistics/1187186/global-rare-earths-mine-production/" TargetMode="External"/><Relationship Id="rId18" Type="http://schemas.openxmlformats.org/officeDocument/2006/relationships/hyperlink" Target="https://stockhouse.com/news/newswire/2015/05/19/how-much-copper-and-zinc-average-vehicle" TargetMode="External"/><Relationship Id="rId26" Type="http://schemas.openxmlformats.org/officeDocument/2006/relationships/hyperlink" Target="https://www.thoughtco.com/lithium-production-2340123" TargetMode="External"/><Relationship Id="rId3" Type="http://schemas.openxmlformats.org/officeDocument/2006/relationships/hyperlink" Target="https://www.statista.com/statistics/606684/world-production-of-lithium/?ssp=1&amp;darkschemeovr=1&amp;setlang=en-XL&amp;safesearch=moderate" TargetMode="External"/><Relationship Id="rId21" Type="http://schemas.openxmlformats.org/officeDocument/2006/relationships/hyperlink" Target="https://cleantechnica.com/2019/01/28/tesla-model-3-battery-pack-cell-teardown-highlights-performance-improvements/" TargetMode="External"/><Relationship Id="rId7" Type="http://schemas.openxmlformats.org/officeDocument/2006/relationships/hyperlink" Target="https://www.quora.com/How-much-lithium-in-kg-is-used-in-an-electric-car" TargetMode="External"/><Relationship Id="rId12" Type="http://schemas.openxmlformats.org/officeDocument/2006/relationships/hyperlink" Target="https://www.mining-technology.com/comment/global-copper-output-grow/" TargetMode="External"/><Relationship Id="rId17" Type="http://schemas.openxmlformats.org/officeDocument/2006/relationships/hyperlink" Target="https://www.intlmag.org/general/custom.asp?page=app_automotive_ima" TargetMode="External"/><Relationship Id="rId25" Type="http://schemas.openxmlformats.org/officeDocument/2006/relationships/hyperlink" Target="https://pubs.usgs.gov/periodicals/mcs2023/mcs2023-manganese.pdf" TargetMode="External"/><Relationship Id="rId2" Type="http://schemas.openxmlformats.org/officeDocument/2006/relationships/hyperlink" Target="https://natural-resources.canada.ca/our-natural-resources/minerals-mining/minerals-metals-facts/graphite-facts/24027" TargetMode="External"/><Relationship Id="rId16" Type="http://schemas.openxmlformats.org/officeDocument/2006/relationships/hyperlink" Target="https://international-aluminium.org/statistics/primary-aluminium-production/" TargetMode="External"/><Relationship Id="rId20" Type="http://schemas.openxmlformats.org/officeDocument/2006/relationships/hyperlink" Target="https://cambridgehouse.com/news/8707/how-evs-will-forever-change-the-copper-landscape" TargetMode="External"/><Relationship Id="rId1" Type="http://schemas.openxmlformats.org/officeDocument/2006/relationships/hyperlink" Target="https://worldsteel.org/steel-topics/statistics/world-steel-in-figures-2022/" TargetMode="External"/><Relationship Id="rId6" Type="http://schemas.openxmlformats.org/officeDocument/2006/relationships/hyperlink" Target="https://www.mining.com/all-the-mines-tesla-needs-to-build-20-million-cars-a-year/" TargetMode="External"/><Relationship Id="rId11" Type="http://schemas.openxmlformats.org/officeDocument/2006/relationships/hyperlink" Target="https://www.mining.com/all-the-mines-tesla-needs-to-build-20-million-cars-a-year/" TargetMode="External"/><Relationship Id="rId24" Type="http://schemas.openxmlformats.org/officeDocument/2006/relationships/hyperlink" Target="https://www.notebookcheck.net/Tesla-4680-vs-2170-battery-cell-test-reveals-lower-energy-density-in-the-Texas-made-Model-Y.669162.0.html" TargetMode="External"/><Relationship Id="rId5" Type="http://schemas.openxmlformats.org/officeDocument/2006/relationships/hyperlink" Target="https://www.mining.com/web/graphite-deficit-starting-this-year-as-demand-for-ev-battery-anode-ingredient-exceeds-supply/" TargetMode="External"/><Relationship Id="rId15" Type="http://schemas.openxmlformats.org/officeDocument/2006/relationships/hyperlink" Target="https://www.kitco.com/news/2023-02-06/Global-nickel-production-up-21-in-2022-as-Indonesian-output-jumps-54.html" TargetMode="External"/><Relationship Id="rId23" Type="http://schemas.openxmlformats.org/officeDocument/2006/relationships/hyperlink" Target="https://elements.visualcapitalist.com/the-key-minerals-in-an-ev-battery/" TargetMode="External"/><Relationship Id="rId10" Type="http://schemas.openxmlformats.org/officeDocument/2006/relationships/hyperlink" Target="https://www.mining.com/all-the-mines-tesla-needs-to-build-20-million-cars-a-year/" TargetMode="External"/><Relationship Id="rId19" Type="http://schemas.openxmlformats.org/officeDocument/2006/relationships/hyperlink" Target="https://chem.libretexts.org/Ancillary_Materials/Laboratory_Experiments/Wet_Lab_Experiments/Analytical_Chemistry_Labs/Determination_of_the_Mn_Content_of_Steel" TargetMode="External"/><Relationship Id="rId4" Type="http://schemas.openxmlformats.org/officeDocument/2006/relationships/hyperlink" Target="https://www.visualcapitalist.com/visualizing-25-years-of-lithium-production-by-country/" TargetMode="External"/><Relationship Id="rId9" Type="http://schemas.openxmlformats.org/officeDocument/2006/relationships/hyperlink" Target="https://www.mining.com/all-the-mines-tesla-needs-to-build-20-million-cars-a-year/" TargetMode="External"/><Relationship Id="rId14" Type="http://schemas.openxmlformats.org/officeDocument/2006/relationships/hyperlink" Target="https://www.statista.com/statistics/339759/global-cobalt-mine-production/" TargetMode="External"/><Relationship Id="rId22" Type="http://schemas.openxmlformats.org/officeDocument/2006/relationships/hyperlink" Target="https://themotordigest.com/how-much-do-tesla-batteries-weigh/" TargetMode="External"/><Relationship Id="rId27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en.wikipedia.org/wiki/Copper_extraction" TargetMode="External"/><Relationship Id="rId13" Type="http://schemas.openxmlformats.org/officeDocument/2006/relationships/hyperlink" Target="https://tradingeconomics.com/commodity/nickel" TargetMode="External"/><Relationship Id="rId18" Type="http://schemas.openxmlformats.org/officeDocument/2006/relationships/hyperlink" Target="https://tradingeconomics.com/commodity/neodymium" TargetMode="External"/><Relationship Id="rId26" Type="http://schemas.openxmlformats.org/officeDocument/2006/relationships/hyperlink" Target="https://tradingeconomics.com/commodity/crude-oil" TargetMode="External"/><Relationship Id="rId39" Type="http://schemas.openxmlformats.org/officeDocument/2006/relationships/hyperlink" Target="https://international-aluminium.org/statistics/primary-aluminium-production/" TargetMode="External"/><Relationship Id="rId3" Type="http://schemas.openxmlformats.org/officeDocument/2006/relationships/hyperlink" Target="https://www.statista.com/statistics/606684/world-production-of-lithium/?ssp=1&amp;darkschemeovr=1&amp;setlang=en-XL&amp;safesearch=moderate" TargetMode="External"/><Relationship Id="rId21" Type="http://schemas.openxmlformats.org/officeDocument/2006/relationships/hyperlink" Target="https://www.ga.gov.au/education/classroom-resources/minerals-energy/australian-mineral-facts/nickel" TargetMode="External"/><Relationship Id="rId34" Type="http://schemas.openxmlformats.org/officeDocument/2006/relationships/hyperlink" Target="https://www.britannica.com/technology/zinc-processing/Ores" TargetMode="External"/><Relationship Id="rId42" Type="http://schemas.openxmlformats.org/officeDocument/2006/relationships/hyperlink" Target="https://tradingeconomics.com/commodity/uk-natural-gas" TargetMode="External"/><Relationship Id="rId7" Type="http://schemas.openxmlformats.org/officeDocument/2006/relationships/hyperlink" Target="https://www.mining.com/all-the-mines-tesla-needs-to-build-20-million-cars-a-year/" TargetMode="External"/><Relationship Id="rId12" Type="http://schemas.openxmlformats.org/officeDocument/2006/relationships/hyperlink" Target="https://www.alibaba.com/product-detail/High-purity-99-95-nano-graphite_10000000439969.html" TargetMode="External"/><Relationship Id="rId17" Type="http://schemas.openxmlformats.org/officeDocument/2006/relationships/hyperlink" Target="https://tradingeconomics.com/commodity/cobalt" TargetMode="External"/><Relationship Id="rId25" Type="http://schemas.openxmlformats.org/officeDocument/2006/relationships/hyperlink" Target="https://www.statista.com/statistics/265229/global-oil-production-in-million-metric-tons/" TargetMode="External"/><Relationship Id="rId33" Type="http://schemas.openxmlformats.org/officeDocument/2006/relationships/hyperlink" Target="https://www.911metallurgist.com/blog/froth-flotation-spodumene-processing-lithium-extraction" TargetMode="External"/><Relationship Id="rId38" Type="http://schemas.openxmlformats.org/officeDocument/2006/relationships/hyperlink" Target="https://tradingeconomics.com/commodity/iron-ore" TargetMode="External"/><Relationship Id="rId2" Type="http://schemas.openxmlformats.org/officeDocument/2006/relationships/hyperlink" Target="https://natural-resources.canada.ca/our-natural-resources/minerals-mining/minerals-metals-facts/graphite-facts/24027" TargetMode="External"/><Relationship Id="rId16" Type="http://schemas.openxmlformats.org/officeDocument/2006/relationships/hyperlink" Target="https://tradingeconomics.com/commodity/manganese" TargetMode="External"/><Relationship Id="rId20" Type="http://schemas.openxmlformats.org/officeDocument/2006/relationships/hyperlink" Target="https://tradingeconomics.com/commodity/steel" TargetMode="External"/><Relationship Id="rId29" Type="http://schemas.openxmlformats.org/officeDocument/2006/relationships/hyperlink" Target="https://www.omnicalculator.com/conversion/natural-gas-converter" TargetMode="External"/><Relationship Id="rId41" Type="http://schemas.openxmlformats.org/officeDocument/2006/relationships/hyperlink" Target="https://www.statista.com/statistics/1244066/global-manganese-production-volume-by-country/" TargetMode="External"/><Relationship Id="rId1" Type="http://schemas.openxmlformats.org/officeDocument/2006/relationships/hyperlink" Target="https://worldsteel.org/steel-topics/statistics/world-steel-in-figures-2022/" TargetMode="External"/><Relationship Id="rId6" Type="http://schemas.openxmlformats.org/officeDocument/2006/relationships/hyperlink" Target="https://www.mining-technology.com/comment/global-copper-output-grow/" TargetMode="External"/><Relationship Id="rId11" Type="http://schemas.openxmlformats.org/officeDocument/2006/relationships/hyperlink" Target="https://www.statista.com/statistics/1187186/global-rare-earths-mine-production/" TargetMode="External"/><Relationship Id="rId24" Type="http://schemas.openxmlformats.org/officeDocument/2006/relationships/hyperlink" Target="https://tradingeconomics.com/commodity/coal" TargetMode="External"/><Relationship Id="rId32" Type="http://schemas.openxmlformats.org/officeDocument/2006/relationships/hyperlink" Target="https://www.omnicalculator.com/conversion/natural-gas-converter" TargetMode="External"/><Relationship Id="rId37" Type="http://schemas.openxmlformats.org/officeDocument/2006/relationships/hyperlink" Target="https://www.youtube.com/watch?v=l6T9xIeZTds&amp;t=4628s" TargetMode="External"/><Relationship Id="rId40" Type="http://schemas.openxmlformats.org/officeDocument/2006/relationships/hyperlink" Target="https://geology.com/usgs/manganese/" TargetMode="External"/><Relationship Id="rId45" Type="http://schemas.openxmlformats.org/officeDocument/2006/relationships/printerSettings" Target="../printerSettings/printerSettings3.bin"/><Relationship Id="rId5" Type="http://schemas.openxmlformats.org/officeDocument/2006/relationships/hyperlink" Target="https://www.britannica.com/technology/iron-processing/Ores" TargetMode="External"/><Relationship Id="rId15" Type="http://schemas.openxmlformats.org/officeDocument/2006/relationships/hyperlink" Target="https://tradingeconomics.com/commodity/copper" TargetMode="External"/><Relationship Id="rId23" Type="http://schemas.openxmlformats.org/officeDocument/2006/relationships/hyperlink" Target="https://www.iea.org/data-and-statistics/charts/global-coal-production-2018-2021" TargetMode="External"/><Relationship Id="rId28" Type="http://schemas.openxmlformats.org/officeDocument/2006/relationships/hyperlink" Target="https://www.statista.com/statistics/265344/total-global-natural-gas-production-since-1998/" TargetMode="External"/><Relationship Id="rId36" Type="http://schemas.openxmlformats.org/officeDocument/2006/relationships/hyperlink" Target="https://www.youtube.com/watch?v=l6T9xIeZTds&amp;t=4628s" TargetMode="External"/><Relationship Id="rId10" Type="http://schemas.openxmlformats.org/officeDocument/2006/relationships/hyperlink" Target="https://www.mining.com/all-the-mines-tesla-needs-to-build-20-million-cars-a-year/" TargetMode="External"/><Relationship Id="rId19" Type="http://schemas.openxmlformats.org/officeDocument/2006/relationships/hyperlink" Target="https://tradingeconomics.com/commodity/aluminum" TargetMode="External"/><Relationship Id="rId31" Type="http://schemas.openxmlformats.org/officeDocument/2006/relationships/hyperlink" Target="https://www.xe.com/currencyconverter/convert/?Amount=1&amp;From=GBP&amp;To=USD" TargetMode="External"/><Relationship Id="rId44" Type="http://schemas.openxmlformats.org/officeDocument/2006/relationships/hyperlink" Target="https://tradingeconomics.com/commodity/coal" TargetMode="External"/><Relationship Id="rId4" Type="http://schemas.openxmlformats.org/officeDocument/2006/relationships/hyperlink" Target="https://www.visualcapitalist.com/visualizing-25-years-of-lithium-production-by-country/" TargetMode="External"/><Relationship Id="rId9" Type="http://schemas.openxmlformats.org/officeDocument/2006/relationships/hyperlink" Target="https://www.mining.com/all-the-mines-tesla-needs-to-build-20-million-cars-a-year/" TargetMode="External"/><Relationship Id="rId14" Type="http://schemas.openxmlformats.org/officeDocument/2006/relationships/hyperlink" Target="https://tradingeconomics.com/commodity/lithium" TargetMode="External"/><Relationship Id="rId22" Type="http://schemas.openxmlformats.org/officeDocument/2006/relationships/hyperlink" Target="https://www.statista.com/statistics/799538/global-bauxite-production/" TargetMode="External"/><Relationship Id="rId27" Type="http://schemas.openxmlformats.org/officeDocument/2006/relationships/hyperlink" Target="https://www.linkedin.com/pulse/why-we-say-1-ton-crude-oil-equals-733-barrels-seraph-liu/" TargetMode="External"/><Relationship Id="rId30" Type="http://schemas.openxmlformats.org/officeDocument/2006/relationships/hyperlink" Target="https://tradingeconomics.com/commodity/uk-natural-gas" TargetMode="External"/><Relationship Id="rId35" Type="http://schemas.openxmlformats.org/officeDocument/2006/relationships/hyperlink" Target="https://www.youtube.com/watch?v=l6T9xIeZTds&amp;t=4628s" TargetMode="External"/><Relationship Id="rId43" Type="http://schemas.openxmlformats.org/officeDocument/2006/relationships/hyperlink" Target="https://tradingeconomics.com/commodity/crude-oil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elements.visualcapitalist.com/the-key-minerals-in-an-ev-battery/" TargetMode="External"/><Relationship Id="rId18" Type="http://schemas.openxmlformats.org/officeDocument/2006/relationships/hyperlink" Target="https://elements.visualcapitalist.com/the-key-minerals-in-an-ev-battery/" TargetMode="External"/><Relationship Id="rId26" Type="http://schemas.openxmlformats.org/officeDocument/2006/relationships/hyperlink" Target="https://elements.visualcapitalist.com/the-key-minerals-in-an-ev-battery/" TargetMode="External"/><Relationship Id="rId39" Type="http://schemas.openxmlformats.org/officeDocument/2006/relationships/hyperlink" Target="https://elements.visualcapitalist.com/the-key-minerals-in-an-ev-battery/" TargetMode="External"/><Relationship Id="rId21" Type="http://schemas.openxmlformats.org/officeDocument/2006/relationships/hyperlink" Target="https://elements.visualcapitalist.com/the-key-minerals-in-an-ev-battery/" TargetMode="External"/><Relationship Id="rId34" Type="http://schemas.openxmlformats.org/officeDocument/2006/relationships/hyperlink" Target="https://elements.visualcapitalist.com/the-key-minerals-in-an-ev-battery/" TargetMode="External"/><Relationship Id="rId42" Type="http://schemas.openxmlformats.org/officeDocument/2006/relationships/hyperlink" Target="https://elements.visualcapitalist.com/the-key-minerals-in-an-ev-battery/" TargetMode="External"/><Relationship Id="rId47" Type="http://schemas.openxmlformats.org/officeDocument/2006/relationships/hyperlink" Target="https://www.youtube.com/watch?v=e_kBxp-kLX0&amp;t=402s" TargetMode="External"/><Relationship Id="rId50" Type="http://schemas.openxmlformats.org/officeDocument/2006/relationships/hyperlink" Target="https://www.youtube.com/watch?v=e_kBxp-kLX0&amp;t=402s" TargetMode="External"/><Relationship Id="rId55" Type="http://schemas.openxmlformats.org/officeDocument/2006/relationships/hyperlink" Target="https://www.takomabattery.com/catl-sodium-ion-battery/?ssp=1&amp;darkschemeovr=1&amp;setlang=en-XL&amp;safesearch=moderate" TargetMode="External"/><Relationship Id="rId63" Type="http://schemas.openxmlformats.org/officeDocument/2006/relationships/hyperlink" Target="https://elements.visualcapitalist.com/the-key-minerals-in-an-ev-battery/" TargetMode="External"/><Relationship Id="rId68" Type="http://schemas.openxmlformats.org/officeDocument/2006/relationships/hyperlink" Target="https://link.springer.com/article/10.1007/s10973-022-11394-5" TargetMode="External"/><Relationship Id="rId76" Type="http://schemas.openxmlformats.org/officeDocument/2006/relationships/hyperlink" Target="https://www.findmyelectric.com/blog/tesla-battery-replacement-cost-explained/" TargetMode="External"/><Relationship Id="rId7" Type="http://schemas.openxmlformats.org/officeDocument/2006/relationships/hyperlink" Target="https://elements.visualcapitalist.com/the-key-minerals-in-an-ev-battery/" TargetMode="External"/><Relationship Id="rId71" Type="http://schemas.openxmlformats.org/officeDocument/2006/relationships/hyperlink" Target="https://www.youtube.com/watch?v=y3pkHZ01_wc&amp;list=FLZCT9hB-Visphsp0Ne3D-xA&amp;index=18&amp;t=220s" TargetMode="External"/><Relationship Id="rId2" Type="http://schemas.openxmlformats.org/officeDocument/2006/relationships/hyperlink" Target="https://elements.visualcapitalist.com/the-key-minerals-in-an-ev-battery/" TargetMode="External"/><Relationship Id="rId16" Type="http://schemas.openxmlformats.org/officeDocument/2006/relationships/hyperlink" Target="https://elements.visualcapitalist.com/the-key-minerals-in-an-ev-battery/" TargetMode="External"/><Relationship Id="rId29" Type="http://schemas.openxmlformats.org/officeDocument/2006/relationships/hyperlink" Target="https://elements.visualcapitalist.com/the-key-minerals-in-an-ev-battery/" TargetMode="External"/><Relationship Id="rId11" Type="http://schemas.openxmlformats.org/officeDocument/2006/relationships/hyperlink" Target="https://elements.visualcapitalist.com/the-key-minerals-in-an-ev-battery/" TargetMode="External"/><Relationship Id="rId24" Type="http://schemas.openxmlformats.org/officeDocument/2006/relationships/hyperlink" Target="https://elements.visualcapitalist.com/the-key-minerals-in-an-ev-battery/" TargetMode="External"/><Relationship Id="rId32" Type="http://schemas.openxmlformats.org/officeDocument/2006/relationships/hyperlink" Target="https://elements.visualcapitalist.com/the-key-minerals-in-an-ev-battery/" TargetMode="External"/><Relationship Id="rId37" Type="http://schemas.openxmlformats.org/officeDocument/2006/relationships/hyperlink" Target="https://elements.visualcapitalist.com/the-key-minerals-in-an-ev-battery/" TargetMode="External"/><Relationship Id="rId40" Type="http://schemas.openxmlformats.org/officeDocument/2006/relationships/hyperlink" Target="https://elements.visualcapitalist.com/the-key-minerals-in-an-ev-battery/" TargetMode="External"/><Relationship Id="rId45" Type="http://schemas.openxmlformats.org/officeDocument/2006/relationships/hyperlink" Target="https://elements.visualcapitalist.com/the-key-minerals-in-an-ev-battery/" TargetMode="External"/><Relationship Id="rId53" Type="http://schemas.openxmlformats.org/officeDocument/2006/relationships/hyperlink" Target="https://www.youtube.com/watch?v=e_kBxp-kLX0&amp;t=402s" TargetMode="External"/><Relationship Id="rId58" Type="http://schemas.openxmlformats.org/officeDocument/2006/relationships/hyperlink" Target="https://www.youtube.com/watch?v=y3pkHZ01_wc&amp;list=FLZCT9hB-Visphsp0Ne3D-xA&amp;index=18&amp;t=220s" TargetMode="External"/><Relationship Id="rId66" Type="http://schemas.openxmlformats.org/officeDocument/2006/relationships/hyperlink" Target="https://moneyballr.medium.com/cost-and-safety-nmc-5-6-series-might-make-a-comeback-this-year-65fd11a13f5c" TargetMode="External"/><Relationship Id="rId74" Type="http://schemas.openxmlformats.org/officeDocument/2006/relationships/hyperlink" Target="https://about.bnef.com/blog/lithium-ion-battery-pack-prices-rise-for-first-time-to-an-average-of-151-kwh/" TargetMode="External"/><Relationship Id="rId79" Type="http://schemas.openxmlformats.org/officeDocument/2006/relationships/hyperlink" Target="https://en.wikipedia.org/wiki/Hard_carbon" TargetMode="External"/><Relationship Id="rId5" Type="http://schemas.openxmlformats.org/officeDocument/2006/relationships/hyperlink" Target="https://elements.visualcapitalist.com/the-key-minerals-in-an-ev-battery/" TargetMode="External"/><Relationship Id="rId61" Type="http://schemas.openxmlformats.org/officeDocument/2006/relationships/hyperlink" Target="https://www.thoughtco.com/lithium-production-2340123" TargetMode="External"/><Relationship Id="rId10" Type="http://schemas.openxmlformats.org/officeDocument/2006/relationships/hyperlink" Target="https://elements.visualcapitalist.com/the-key-minerals-in-an-ev-battery/" TargetMode="External"/><Relationship Id="rId19" Type="http://schemas.openxmlformats.org/officeDocument/2006/relationships/hyperlink" Target="https://elements.visualcapitalist.com/the-key-minerals-in-an-ev-battery/" TargetMode="External"/><Relationship Id="rId31" Type="http://schemas.openxmlformats.org/officeDocument/2006/relationships/hyperlink" Target="https://elements.visualcapitalist.com/the-key-minerals-in-an-ev-battery/" TargetMode="External"/><Relationship Id="rId44" Type="http://schemas.openxmlformats.org/officeDocument/2006/relationships/hyperlink" Target="https://elements.visualcapitalist.com/the-key-minerals-in-an-ev-battery/" TargetMode="External"/><Relationship Id="rId52" Type="http://schemas.openxmlformats.org/officeDocument/2006/relationships/hyperlink" Target="https://www.youtube.com/watch?v=e_kBxp-kLX0&amp;t=402s" TargetMode="External"/><Relationship Id="rId60" Type="http://schemas.openxmlformats.org/officeDocument/2006/relationships/hyperlink" Target="https://www.youtube.com/watch?v=y3pkHZ01_wc&amp;list=FLZCT9hB-Visphsp0Ne3D-xA&amp;index=18&amp;t=220s" TargetMode="External"/><Relationship Id="rId65" Type="http://schemas.openxmlformats.org/officeDocument/2006/relationships/hyperlink" Target="https://www.gensace.de/blog/what-is-the-nmc-811-battery-what-are-its-features-battery-monday/" TargetMode="External"/><Relationship Id="rId73" Type="http://schemas.openxmlformats.org/officeDocument/2006/relationships/hyperlink" Target="https://cambridgehouse.com/news/8707/how-evs-will-forever-change-the-copper-landscape" TargetMode="External"/><Relationship Id="rId78" Type="http://schemas.openxmlformats.org/officeDocument/2006/relationships/hyperlink" Target="https://www.sciencedirect.com/topics/chemical-engineering/artificial-graphite" TargetMode="External"/><Relationship Id="rId4" Type="http://schemas.openxmlformats.org/officeDocument/2006/relationships/hyperlink" Target="https://elements.visualcapitalist.com/the-key-minerals-in-an-ev-battery/" TargetMode="External"/><Relationship Id="rId9" Type="http://schemas.openxmlformats.org/officeDocument/2006/relationships/hyperlink" Target="https://elements.visualcapitalist.com/the-key-minerals-in-an-ev-battery/" TargetMode="External"/><Relationship Id="rId14" Type="http://schemas.openxmlformats.org/officeDocument/2006/relationships/hyperlink" Target="https://elements.visualcapitalist.com/the-key-minerals-in-an-ev-battery/" TargetMode="External"/><Relationship Id="rId22" Type="http://schemas.openxmlformats.org/officeDocument/2006/relationships/hyperlink" Target="https://elements.visualcapitalist.com/the-key-minerals-in-an-ev-battery/" TargetMode="External"/><Relationship Id="rId27" Type="http://schemas.openxmlformats.org/officeDocument/2006/relationships/hyperlink" Target="https://elements.visualcapitalist.com/the-key-minerals-in-an-ev-battery/" TargetMode="External"/><Relationship Id="rId30" Type="http://schemas.openxmlformats.org/officeDocument/2006/relationships/hyperlink" Target="https://elements.visualcapitalist.com/the-key-minerals-in-an-ev-battery/" TargetMode="External"/><Relationship Id="rId35" Type="http://schemas.openxmlformats.org/officeDocument/2006/relationships/hyperlink" Target="https://elements.visualcapitalist.com/the-key-minerals-in-an-ev-battery/" TargetMode="External"/><Relationship Id="rId43" Type="http://schemas.openxmlformats.org/officeDocument/2006/relationships/hyperlink" Target="https://elements.visualcapitalist.com/the-key-minerals-in-an-ev-battery/" TargetMode="External"/><Relationship Id="rId48" Type="http://schemas.openxmlformats.org/officeDocument/2006/relationships/hyperlink" Target="https://www.youtube.com/watch?v=e_kBxp-kLX0&amp;t=402s" TargetMode="External"/><Relationship Id="rId56" Type="http://schemas.openxmlformats.org/officeDocument/2006/relationships/hyperlink" Target="https://www.alibaba.com/product-detail/prussian-blue-pigment-pigment-blue-powder_60284676577.html?spm=a2700.7724857.0.0.4a8a5bfcL8ziDf" TargetMode="External"/><Relationship Id="rId64" Type="http://schemas.openxmlformats.org/officeDocument/2006/relationships/hyperlink" Target="https://www.sciencedirect.com/science/article/pii/S2352152X22019521" TargetMode="External"/><Relationship Id="rId69" Type="http://schemas.openxmlformats.org/officeDocument/2006/relationships/hyperlink" Target="https://www.youtube.com/watch?v=y3pkHZ01_wc&amp;list=FLZCT9hB-Visphsp0Ne3D-xA&amp;index=18&amp;t=220s" TargetMode="External"/><Relationship Id="rId77" Type="http://schemas.openxmlformats.org/officeDocument/2006/relationships/hyperlink" Target="https://cnevpost.com/2023/05/19/gotion-unveils-new-battery-lmfp-chemistry-range-1000-km/" TargetMode="External"/><Relationship Id="rId8" Type="http://schemas.openxmlformats.org/officeDocument/2006/relationships/hyperlink" Target="https://elements.visualcapitalist.com/the-key-minerals-in-an-ev-battery/" TargetMode="External"/><Relationship Id="rId51" Type="http://schemas.openxmlformats.org/officeDocument/2006/relationships/hyperlink" Target="https://www.youtube.com/watch?v=e_kBxp-kLX0&amp;t=402s" TargetMode="External"/><Relationship Id="rId72" Type="http://schemas.openxmlformats.org/officeDocument/2006/relationships/hyperlink" Target="https://history-computer.com/nickel-cobalt-aluminum-nca-vs-nickel-cobalt-manganese-ncm-batteries-compared-whats-the-difference/" TargetMode="External"/><Relationship Id="rId80" Type="http://schemas.openxmlformats.org/officeDocument/2006/relationships/printerSettings" Target="../printerSettings/printerSettings4.bin"/><Relationship Id="rId3" Type="http://schemas.openxmlformats.org/officeDocument/2006/relationships/hyperlink" Target="https://elements.visualcapitalist.com/the-key-minerals-in-an-ev-battery/" TargetMode="External"/><Relationship Id="rId12" Type="http://schemas.openxmlformats.org/officeDocument/2006/relationships/hyperlink" Target="https://elements.visualcapitalist.com/the-key-minerals-in-an-ev-battery/" TargetMode="External"/><Relationship Id="rId17" Type="http://schemas.openxmlformats.org/officeDocument/2006/relationships/hyperlink" Target="https://elements.visualcapitalist.com/the-key-minerals-in-an-ev-battery/" TargetMode="External"/><Relationship Id="rId25" Type="http://schemas.openxmlformats.org/officeDocument/2006/relationships/hyperlink" Target="https://elements.visualcapitalist.com/the-key-minerals-in-an-ev-battery/" TargetMode="External"/><Relationship Id="rId33" Type="http://schemas.openxmlformats.org/officeDocument/2006/relationships/hyperlink" Target="https://elements.visualcapitalist.com/the-key-minerals-in-an-ev-battery/" TargetMode="External"/><Relationship Id="rId38" Type="http://schemas.openxmlformats.org/officeDocument/2006/relationships/hyperlink" Target="https://elements.visualcapitalist.com/the-key-minerals-in-an-ev-battery/" TargetMode="External"/><Relationship Id="rId46" Type="http://schemas.openxmlformats.org/officeDocument/2006/relationships/hyperlink" Target="https://insideevs.com/news/523413/catl-unveils-sodium-ion-battery/" TargetMode="External"/><Relationship Id="rId59" Type="http://schemas.openxmlformats.org/officeDocument/2006/relationships/hyperlink" Target="https://www.youtube.com/watch?v=y3pkHZ01_wc&amp;list=FLZCT9hB-Visphsp0Ne3D-xA&amp;index=18&amp;t=220s" TargetMode="External"/><Relationship Id="rId67" Type="http://schemas.openxmlformats.org/officeDocument/2006/relationships/hyperlink" Target="https://www.batterydesign.net/cell-energy-density/" TargetMode="External"/><Relationship Id="rId20" Type="http://schemas.openxmlformats.org/officeDocument/2006/relationships/hyperlink" Target="https://elements.visualcapitalist.com/the-key-minerals-in-an-ev-battery/" TargetMode="External"/><Relationship Id="rId41" Type="http://schemas.openxmlformats.org/officeDocument/2006/relationships/hyperlink" Target="https://elements.visualcapitalist.com/the-key-minerals-in-an-ev-battery/" TargetMode="External"/><Relationship Id="rId54" Type="http://schemas.openxmlformats.org/officeDocument/2006/relationships/hyperlink" Target="https://www.youtube.com/watch?v=e_kBxp-kLX0&amp;t=402s" TargetMode="External"/><Relationship Id="rId62" Type="http://schemas.openxmlformats.org/officeDocument/2006/relationships/hyperlink" Target="https://elements.visualcapitalist.com/the-key-minerals-in-an-ev-battery/" TargetMode="External"/><Relationship Id="rId70" Type="http://schemas.openxmlformats.org/officeDocument/2006/relationships/hyperlink" Target="https://www.youtube.com/watch?v=y3pkHZ01_wc&amp;list=FLZCT9hB-Visphsp0Ne3D-xA&amp;index=18&amp;t=220s" TargetMode="External"/><Relationship Id="rId75" Type="http://schemas.openxmlformats.org/officeDocument/2006/relationships/hyperlink" Target="https://www.sciencedirect.com/science/article/pii/S2352152X22019521" TargetMode="External"/><Relationship Id="rId1" Type="http://schemas.openxmlformats.org/officeDocument/2006/relationships/hyperlink" Target="https://elements.visualcapitalist.com/the-key-minerals-in-an-ev-battery/" TargetMode="External"/><Relationship Id="rId6" Type="http://schemas.openxmlformats.org/officeDocument/2006/relationships/hyperlink" Target="https://elements.visualcapitalist.com/the-key-minerals-in-an-ev-battery/" TargetMode="External"/><Relationship Id="rId15" Type="http://schemas.openxmlformats.org/officeDocument/2006/relationships/hyperlink" Target="https://elements.visualcapitalist.com/the-key-minerals-in-an-ev-battery/" TargetMode="External"/><Relationship Id="rId23" Type="http://schemas.openxmlformats.org/officeDocument/2006/relationships/hyperlink" Target="https://elements.visualcapitalist.com/the-key-minerals-in-an-ev-battery/" TargetMode="External"/><Relationship Id="rId28" Type="http://schemas.openxmlformats.org/officeDocument/2006/relationships/hyperlink" Target="https://elements.visualcapitalist.com/the-key-minerals-in-an-ev-battery/" TargetMode="External"/><Relationship Id="rId36" Type="http://schemas.openxmlformats.org/officeDocument/2006/relationships/hyperlink" Target="https://elements.visualcapitalist.com/the-key-minerals-in-an-ev-battery/" TargetMode="External"/><Relationship Id="rId49" Type="http://schemas.openxmlformats.org/officeDocument/2006/relationships/hyperlink" Target="https://www.youtube.com/watch?v=e_kBxp-kLX0&amp;t=402s" TargetMode="External"/><Relationship Id="rId57" Type="http://schemas.openxmlformats.org/officeDocument/2006/relationships/hyperlink" Target="https://en.wikipedia.org/wiki/Prussian_blue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thoughtco.com/lithium-production-2340123" TargetMode="External"/><Relationship Id="rId1" Type="http://schemas.openxmlformats.org/officeDocument/2006/relationships/hyperlink" Target="https://en.wikipedia.org/wiki/Lithiu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niversaltradingscri.com/top-9-nickel-producing-countries-updated-2022/" TargetMode="External"/><Relationship Id="rId2" Type="http://schemas.openxmlformats.org/officeDocument/2006/relationships/hyperlink" Target="https://investingnews.com/daily/resource-investing/base-metals-investing/nickel-investing/top-nickel-producing-countries/" TargetMode="External"/><Relationship Id="rId1" Type="http://schemas.openxmlformats.org/officeDocument/2006/relationships/hyperlink" Target="https://www.statista.com/statistics/273634/nickel-reserves-worldwide-by-country/" TargetMode="External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https://nickelinstitute.org/en/about-nickel-and-its-applications/" TargetMode="External"/><Relationship Id="rId4" Type="http://schemas.openxmlformats.org/officeDocument/2006/relationships/hyperlink" Target="https://www.kitco.com/news/2023-02-06/Global-nickel-production-up-21-in-2022-as-Indonesian-output-jumps-54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ista.com/statistics/339759/global-cobalt-mine-production/" TargetMode="External"/><Relationship Id="rId2" Type="http://schemas.openxmlformats.org/officeDocument/2006/relationships/hyperlink" Target="https://www.statista.com/statistics/264928/cobalt-mine-production-by-country/" TargetMode="External"/><Relationship Id="rId1" Type="http://schemas.openxmlformats.org/officeDocument/2006/relationships/hyperlink" Target="https://www.statista.com/statistics/1143399/global-cobalt-consumption-distribution-by-application/" TargetMode="External"/><Relationship Id="rId6" Type="http://schemas.openxmlformats.org/officeDocument/2006/relationships/printerSettings" Target="../printerSettings/printerSettings9.bin"/><Relationship Id="rId5" Type="http://schemas.openxmlformats.org/officeDocument/2006/relationships/hyperlink" Target="https://worldoceanreview.com/en/wor-3/mineral-resources/cobalt-crusts/?ssp=1&amp;darkschemeovr=1&amp;setlang=en-XL&amp;safesearch=moderate" TargetMode="External"/><Relationship Id="rId4" Type="http://schemas.openxmlformats.org/officeDocument/2006/relationships/hyperlink" Target="https://www.statista.com/statistics/264930/global-cobalt-reserv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6"/>
  <sheetViews>
    <sheetView topLeftCell="A6" workbookViewId="0">
      <selection activeCell="B45" sqref="B45"/>
    </sheetView>
  </sheetViews>
  <sheetFormatPr defaultRowHeight="14.5" x14ac:dyDescent="0.35"/>
  <cols>
    <col min="2" max="2" width="28.54296875" customWidth="1"/>
    <col min="3" max="3" width="15.1796875" customWidth="1"/>
    <col min="4" max="4" width="11" customWidth="1"/>
    <col min="5" max="5" width="17.81640625" customWidth="1"/>
    <col min="6" max="6" width="10.1796875" customWidth="1"/>
    <col min="7" max="7" width="13.6328125" customWidth="1"/>
    <col min="8" max="8" width="12.90625" customWidth="1"/>
    <col min="9" max="9" width="9.81640625" bestFit="1" customWidth="1"/>
    <col min="10" max="10" width="10.90625" bestFit="1" customWidth="1"/>
    <col min="12" max="12" width="29.6328125" customWidth="1"/>
    <col min="13" max="13" width="15.54296875" customWidth="1"/>
    <col min="14" max="14" width="11.08984375" customWidth="1"/>
    <col min="15" max="15" width="17.81640625" customWidth="1"/>
    <col min="16" max="16" width="10" customWidth="1"/>
  </cols>
  <sheetData>
    <row r="1" spans="1:16" ht="28.5" x14ac:dyDescent="0.65">
      <c r="A1" s="2" t="str">
        <f>RawMaterialsBEV!A1</f>
        <v>Batteries - In debt cost and scalability analysis #22</v>
      </c>
    </row>
    <row r="3" spans="1:16" ht="15.5" x14ac:dyDescent="0.35">
      <c r="A3" s="1" t="str">
        <f>RawMaterialsBEV!A3</f>
        <v>Proprietary. © H. Mathiesen. This material can be used by others free of charge provided that the author H. Mathiesen is attributed and a clickable link is made visible to the location of used material on www.hmexperience.dk</v>
      </c>
    </row>
    <row r="4" spans="1:16" ht="15.5" x14ac:dyDescent="0.35">
      <c r="A4" s="1" t="str">
        <f>RawMaterialsBEV!A4</f>
        <v>Sources to all information used in this spreadsheet can also be found in associated PowerPoint presentation located also at www.hmexperience.dk</v>
      </c>
    </row>
    <row r="7" spans="1:16" ht="25.5" customHeight="1" thickBot="1" x14ac:dyDescent="0.65">
      <c r="B7" s="114" t="s">
        <v>128</v>
      </c>
      <c r="C7" s="115"/>
      <c r="D7" s="116"/>
      <c r="E7" s="116"/>
      <c r="F7" s="116"/>
      <c r="L7" s="114" t="str">
        <f t="shared" ref="L7:L8" si="0">B7</f>
        <v>Price of raw materials needed to make battery electric vehicles</v>
      </c>
      <c r="M7" s="115"/>
      <c r="N7" s="116"/>
      <c r="O7" s="116"/>
      <c r="P7" s="116"/>
    </row>
    <row r="8" spans="1:16" ht="15" thickTop="1" x14ac:dyDescent="0.35">
      <c r="B8" s="26" t="s">
        <v>2</v>
      </c>
      <c r="C8" s="27" t="s">
        <v>26</v>
      </c>
      <c r="D8" s="27" t="s">
        <v>36</v>
      </c>
      <c r="E8" s="27" t="s">
        <v>32</v>
      </c>
      <c r="F8" s="28" t="s">
        <v>33</v>
      </c>
      <c r="G8" s="4"/>
      <c r="H8" s="10" t="s">
        <v>55</v>
      </c>
      <c r="J8" s="10" t="s">
        <v>248</v>
      </c>
      <c r="L8" s="26" t="str">
        <f t="shared" si="0"/>
        <v>Material type</v>
      </c>
      <c r="M8" s="27" t="str">
        <f t="shared" ref="M8:M10" si="1">C8</f>
        <v xml:space="preserve">One average BEV </v>
      </c>
      <c r="N8" s="27" t="str">
        <f t="shared" ref="N8:N10" si="2">D8</f>
        <v xml:space="preserve">Price in USD </v>
      </c>
      <c r="O8" s="27" t="str">
        <f t="shared" ref="O8:O10" si="3">E8</f>
        <v xml:space="preserve">Price USD of needed </v>
      </c>
      <c r="P8" s="28" t="str">
        <f t="shared" ref="P8:P10" si="4">F8</f>
        <v xml:space="preserve">Date of </v>
      </c>
    </row>
    <row r="9" spans="1:16" x14ac:dyDescent="0.35">
      <c r="B9" s="29"/>
      <c r="C9" s="30" t="s">
        <v>8</v>
      </c>
      <c r="D9" s="10" t="s">
        <v>37</v>
      </c>
      <c r="E9" s="10" t="s">
        <v>31</v>
      </c>
      <c r="F9" s="31" t="s">
        <v>34</v>
      </c>
      <c r="G9" s="4"/>
      <c r="H9" s="10" t="s">
        <v>269</v>
      </c>
      <c r="J9" s="10" t="s">
        <v>268</v>
      </c>
      <c r="L9" s="29"/>
      <c r="M9" s="30" t="str">
        <f t="shared" si="1"/>
        <v>in kg per vehicle</v>
      </c>
      <c r="N9" s="10" t="str">
        <f t="shared" si="2"/>
        <v xml:space="preserve">per kg </v>
      </c>
      <c r="O9" s="10" t="str">
        <f t="shared" si="3"/>
        <v>material in BEV</v>
      </c>
      <c r="P9" s="31" t="str">
        <f t="shared" si="4"/>
        <v>price info</v>
      </c>
    </row>
    <row r="10" spans="1:16" x14ac:dyDescent="0.35">
      <c r="B10" s="18" t="s">
        <v>815</v>
      </c>
      <c r="C10" s="32">
        <f>RawMaterialsBEV!C10</f>
        <v>61.432448000000008</v>
      </c>
      <c r="D10" s="32">
        <f>J10/H31</f>
        <v>9.5</v>
      </c>
      <c r="E10" s="32">
        <f t="shared" ref="E10:E24" si="5">D10*C10</f>
        <v>583.6082560000001</v>
      </c>
      <c r="F10" s="33">
        <v>44166</v>
      </c>
      <c r="G10" s="8"/>
      <c r="H10" s="5"/>
      <c r="I10" s="5"/>
      <c r="J10" s="5">
        <f>(8000+11000)/2</f>
        <v>9500</v>
      </c>
      <c r="L10" s="18" t="s">
        <v>458</v>
      </c>
      <c r="M10" s="32">
        <f t="shared" si="1"/>
        <v>61.432448000000008</v>
      </c>
      <c r="N10" s="32">
        <f t="shared" si="2"/>
        <v>9.5</v>
      </c>
      <c r="O10" s="32">
        <f t="shared" si="3"/>
        <v>583.6082560000001</v>
      </c>
      <c r="P10" s="33">
        <f t="shared" si="4"/>
        <v>44166</v>
      </c>
    </row>
    <row r="11" spans="1:16" x14ac:dyDescent="0.35">
      <c r="B11" s="18" t="s">
        <v>459</v>
      </c>
      <c r="C11" s="32">
        <v>0</v>
      </c>
      <c r="D11" s="183">
        <v>30</v>
      </c>
      <c r="E11" s="32">
        <v>0</v>
      </c>
      <c r="F11" s="33">
        <v>44905</v>
      </c>
      <c r="G11" s="8"/>
      <c r="H11" s="5" t="s">
        <v>818</v>
      </c>
      <c r="I11" s="321" t="s">
        <v>445</v>
      </c>
      <c r="J11" s="5" t="s">
        <v>15</v>
      </c>
      <c r="L11" s="18" t="s">
        <v>326</v>
      </c>
      <c r="M11" s="32">
        <f t="shared" ref="M11:P13" si="6">C12</f>
        <v>61.824000000000005</v>
      </c>
      <c r="N11" s="32">
        <f t="shared" si="6"/>
        <v>24.446999999999999</v>
      </c>
      <c r="O11" s="32">
        <f t="shared" si="6"/>
        <v>1511.4113280000001</v>
      </c>
      <c r="P11" s="33">
        <f t="shared" si="6"/>
        <v>45055</v>
      </c>
    </row>
    <row r="12" spans="1:16" x14ac:dyDescent="0.35">
      <c r="B12" s="18" t="s">
        <v>326</v>
      </c>
      <c r="C12" s="32">
        <f>RawMaterialsBEV!C11</f>
        <v>61.824000000000005</v>
      </c>
      <c r="D12" s="32">
        <f>J12/H31</f>
        <v>24.446999999999999</v>
      </c>
      <c r="E12" s="32">
        <f t="shared" si="5"/>
        <v>1511.4113280000001</v>
      </c>
      <c r="F12" s="33">
        <v>45055</v>
      </c>
      <c r="G12" s="8"/>
      <c r="H12" s="5"/>
      <c r="I12" s="5"/>
      <c r="J12" s="5">
        <v>24447</v>
      </c>
      <c r="L12" s="18" t="s">
        <v>461</v>
      </c>
      <c r="M12" s="32">
        <f t="shared" si="6"/>
        <v>44.235071999999995</v>
      </c>
      <c r="N12" s="32">
        <f t="shared" si="6"/>
        <v>32.333210000000001</v>
      </c>
      <c r="O12" s="32">
        <f t="shared" si="6"/>
        <v>1430.2618723411199</v>
      </c>
      <c r="P12" s="33">
        <f t="shared" si="6"/>
        <v>45065</v>
      </c>
    </row>
    <row r="13" spans="1:16" x14ac:dyDescent="0.35">
      <c r="B13" s="18" t="s">
        <v>460</v>
      </c>
      <c r="C13" s="32">
        <f>RawMaterialsBEV!C12</f>
        <v>44.235071999999995</v>
      </c>
      <c r="D13" s="32">
        <f>H13*$H$35/$H$31</f>
        <v>32.333210000000001</v>
      </c>
      <c r="E13" s="32">
        <f t="shared" si="5"/>
        <v>1430.2618723411199</v>
      </c>
      <c r="F13" s="33">
        <v>45065</v>
      </c>
      <c r="G13" s="8"/>
      <c r="H13" s="5">
        <v>227500</v>
      </c>
      <c r="I13" s="5">
        <v>227500</v>
      </c>
      <c r="J13" s="5"/>
      <c r="L13" s="18" t="s">
        <v>324</v>
      </c>
      <c r="M13" s="32">
        <f t="shared" si="6"/>
        <v>8.3462399999999999</v>
      </c>
      <c r="N13" s="32">
        <f t="shared" si="6"/>
        <v>171.36601300000001</v>
      </c>
      <c r="O13" s="32">
        <f t="shared" si="6"/>
        <v>1430.2618723411201</v>
      </c>
      <c r="P13" s="33">
        <f t="shared" si="6"/>
        <v>45065</v>
      </c>
    </row>
    <row r="14" spans="1:16" x14ac:dyDescent="0.35">
      <c r="B14" s="18" t="s">
        <v>324</v>
      </c>
      <c r="C14" s="32">
        <f>RawMaterialsBEV!C13</f>
        <v>8.3462399999999999</v>
      </c>
      <c r="D14" s="32">
        <f>H39</f>
        <v>171.36601300000001</v>
      </c>
      <c r="E14" s="32">
        <f>D14*C14</f>
        <v>1430.2618723411201</v>
      </c>
      <c r="F14" s="33">
        <f>F13</f>
        <v>45065</v>
      </c>
      <c r="G14" s="8"/>
      <c r="H14" s="5"/>
      <c r="I14" s="5"/>
      <c r="J14" s="5"/>
      <c r="L14" s="18" t="s">
        <v>187</v>
      </c>
      <c r="M14" s="32">
        <f t="shared" ref="M14:M22" si="7">C16</f>
        <v>91</v>
      </c>
      <c r="N14" s="32">
        <f t="shared" ref="N14:N22" si="8">D16</f>
        <v>8.2297600000000006</v>
      </c>
      <c r="O14" s="32">
        <f t="shared" ref="O14:O22" si="9">E16</f>
        <v>748.90816000000007</v>
      </c>
      <c r="P14" s="33">
        <f t="shared" ref="P14:P22" si="10">F16</f>
        <v>45065</v>
      </c>
    </row>
    <row r="15" spans="1:16" x14ac:dyDescent="0.35">
      <c r="B15" s="18" t="s">
        <v>446</v>
      </c>
      <c r="C15" s="32">
        <v>0</v>
      </c>
      <c r="D15" s="32">
        <f>H15*$H$35/$H$31</f>
        <v>0.35673124</v>
      </c>
      <c r="E15" s="32">
        <f>D15*C15</f>
        <v>0</v>
      </c>
      <c r="F15" s="33">
        <v>45062</v>
      </c>
      <c r="G15" s="8"/>
      <c r="H15" s="5">
        <v>2510</v>
      </c>
      <c r="I15" s="5"/>
      <c r="J15" s="5">
        <v>279</v>
      </c>
      <c r="L15" s="18" t="s">
        <v>312</v>
      </c>
      <c r="M15" s="32">
        <f t="shared" si="7"/>
        <v>10</v>
      </c>
      <c r="N15" s="32">
        <f t="shared" si="8"/>
        <v>4.6190299999999995</v>
      </c>
      <c r="O15" s="32">
        <f t="shared" si="9"/>
        <v>46.190299999999993</v>
      </c>
      <c r="P15" s="33">
        <f t="shared" si="10"/>
        <v>45010</v>
      </c>
    </row>
    <row r="16" spans="1:16" x14ac:dyDescent="0.35">
      <c r="B16" s="18" t="s">
        <v>187</v>
      </c>
      <c r="C16" s="32">
        <f>RawMaterialsBEV!C14</f>
        <v>91</v>
      </c>
      <c r="D16" s="32">
        <f>H16*H32</f>
        <v>8.2297600000000006</v>
      </c>
      <c r="E16" s="32">
        <f t="shared" si="5"/>
        <v>748.90816000000007</v>
      </c>
      <c r="F16" s="33">
        <v>45065</v>
      </c>
      <c r="G16" s="8"/>
      <c r="H16" s="225">
        <v>3.7408000000000001</v>
      </c>
      <c r="I16" s="5" t="s">
        <v>847</v>
      </c>
      <c r="J16" s="5"/>
      <c r="L16" s="18" t="s">
        <v>241</v>
      </c>
      <c r="M16" s="32">
        <f t="shared" si="7"/>
        <v>20</v>
      </c>
      <c r="N16" s="32">
        <f t="shared" si="8"/>
        <v>3.8089232000000002</v>
      </c>
      <c r="O16" s="32">
        <f t="shared" si="9"/>
        <v>76.178464000000005</v>
      </c>
      <c r="P16" s="33">
        <f t="shared" si="10"/>
        <v>45031</v>
      </c>
    </row>
    <row r="17" spans="2:16" x14ac:dyDescent="0.35">
      <c r="B17" s="18" t="s">
        <v>312</v>
      </c>
      <c r="C17" s="32">
        <f>RawMaterialsBEV!C15</f>
        <v>10</v>
      </c>
      <c r="D17" s="32">
        <f>H17*$H$35/$H$31</f>
        <v>4.6190299999999995</v>
      </c>
      <c r="E17" s="32">
        <f t="shared" si="5"/>
        <v>46.190299999999993</v>
      </c>
      <c r="F17" s="33">
        <v>45010</v>
      </c>
      <c r="G17" s="8"/>
      <c r="H17" s="5">
        <v>32500</v>
      </c>
      <c r="I17" s="5"/>
      <c r="J17" s="5"/>
      <c r="L17" s="18" t="s">
        <v>245</v>
      </c>
      <c r="M17" s="32">
        <f t="shared" si="7"/>
        <v>17.5</v>
      </c>
      <c r="N17" s="32">
        <f t="shared" si="8"/>
        <v>2.673</v>
      </c>
      <c r="O17" s="32">
        <f t="shared" si="9"/>
        <v>46.777500000000003</v>
      </c>
      <c r="P17" s="33">
        <f t="shared" si="10"/>
        <v>45055</v>
      </c>
    </row>
    <row r="18" spans="2:16" x14ac:dyDescent="0.35">
      <c r="B18" s="18" t="s">
        <v>241</v>
      </c>
      <c r="C18" s="32">
        <f>RawMaterialsBEV!C16</f>
        <v>20</v>
      </c>
      <c r="D18" s="32">
        <f>H18*$H$35/$H$31</f>
        <v>3.8089232000000002</v>
      </c>
      <c r="E18" s="32">
        <f>D18*C18</f>
        <v>76.178464000000005</v>
      </c>
      <c r="F18" s="33">
        <v>45031</v>
      </c>
      <c r="G18" s="8"/>
      <c r="H18" s="5">
        <v>26800</v>
      </c>
      <c r="I18" s="5"/>
      <c r="J18" s="5"/>
      <c r="L18" s="35" t="s">
        <v>325</v>
      </c>
      <c r="M18" s="40">
        <f t="shared" si="7"/>
        <v>6.1824000000000003</v>
      </c>
      <c r="N18" s="40">
        <f t="shared" si="8"/>
        <v>34.93</v>
      </c>
      <c r="O18" s="40">
        <f t="shared" si="9"/>
        <v>215.951232</v>
      </c>
      <c r="P18" s="41">
        <f t="shared" si="10"/>
        <v>45055</v>
      </c>
    </row>
    <row r="19" spans="2:16" x14ac:dyDescent="0.35">
      <c r="B19" s="18" t="s">
        <v>245</v>
      </c>
      <c r="C19" s="32">
        <f>RawMaterialsBEV!C17</f>
        <v>17.5</v>
      </c>
      <c r="D19" s="32">
        <f>J19/H31</f>
        <v>2.673</v>
      </c>
      <c r="E19" s="32">
        <f>D19*C19</f>
        <v>46.777500000000003</v>
      </c>
      <c r="F19" s="33">
        <v>45055</v>
      </c>
      <c r="G19" s="8"/>
      <c r="H19" s="5"/>
      <c r="I19" s="5"/>
      <c r="J19" s="5">
        <v>2673</v>
      </c>
      <c r="L19" s="18" t="s">
        <v>186</v>
      </c>
      <c r="M19" s="32">
        <f t="shared" si="7"/>
        <v>0.9</v>
      </c>
      <c r="N19" s="32">
        <f t="shared" si="8"/>
        <v>79.589439999999996</v>
      </c>
      <c r="O19" s="32">
        <f t="shared" si="9"/>
        <v>71.630495999999994</v>
      </c>
      <c r="P19" s="33">
        <f t="shared" si="10"/>
        <v>45055</v>
      </c>
    </row>
    <row r="20" spans="2:16" x14ac:dyDescent="0.35">
      <c r="B20" s="35" t="s">
        <v>325</v>
      </c>
      <c r="C20" s="40">
        <f>RawMaterialsBEV!C18</f>
        <v>6.1824000000000003</v>
      </c>
      <c r="D20" s="40">
        <f>J20/H31</f>
        <v>34.93</v>
      </c>
      <c r="E20" s="40">
        <f t="shared" si="5"/>
        <v>215.951232</v>
      </c>
      <c r="F20" s="41">
        <v>45055</v>
      </c>
      <c r="G20" s="8"/>
      <c r="H20" s="5"/>
      <c r="I20" s="5"/>
      <c r="J20" s="5">
        <v>34930</v>
      </c>
      <c r="L20" s="18" t="s">
        <v>464</v>
      </c>
      <c r="M20" s="32">
        <f t="shared" si="7"/>
        <v>169</v>
      </c>
      <c r="N20" s="32">
        <f t="shared" si="8"/>
        <v>2.3479999999999999</v>
      </c>
      <c r="O20" s="32">
        <f t="shared" si="9"/>
        <v>396.81199999999995</v>
      </c>
      <c r="P20" s="33">
        <f t="shared" si="10"/>
        <v>45010</v>
      </c>
    </row>
    <row r="21" spans="2:16" x14ac:dyDescent="0.35">
      <c r="B21" s="18" t="s">
        <v>186</v>
      </c>
      <c r="C21" s="32">
        <f>RawMaterialsBEV!C19</f>
        <v>0.9</v>
      </c>
      <c r="D21" s="32">
        <f>H21*$H$35/$H$31</f>
        <v>79.589439999999996</v>
      </c>
      <c r="E21" s="32">
        <f t="shared" si="5"/>
        <v>71.630495999999994</v>
      </c>
      <c r="F21" s="33">
        <v>45055</v>
      </c>
      <c r="G21" s="8"/>
      <c r="H21" s="5">
        <v>560000</v>
      </c>
      <c r="I21" s="5"/>
      <c r="J21" s="5"/>
      <c r="L21" s="18" t="s">
        <v>189</v>
      </c>
      <c r="M21" s="32">
        <f t="shared" si="7"/>
        <v>900</v>
      </c>
      <c r="N21" s="32">
        <f t="shared" si="8"/>
        <v>0.52258994800000003</v>
      </c>
      <c r="O21" s="32">
        <f t="shared" si="9"/>
        <v>470.33095320000001</v>
      </c>
      <c r="P21" s="33">
        <f t="shared" si="10"/>
        <v>45055</v>
      </c>
    </row>
    <row r="22" spans="2:16" x14ac:dyDescent="0.35">
      <c r="B22" s="18" t="s">
        <v>464</v>
      </c>
      <c r="C22" s="32">
        <f>RawMaterialsBEV!C20</f>
        <v>169</v>
      </c>
      <c r="D22" s="32">
        <f>2348/H31</f>
        <v>2.3479999999999999</v>
      </c>
      <c r="E22" s="32">
        <f t="shared" si="5"/>
        <v>396.81199999999995</v>
      </c>
      <c r="F22" s="33">
        <v>45010</v>
      </c>
      <c r="G22" s="8"/>
      <c r="H22" s="5"/>
      <c r="I22" s="5"/>
      <c r="J22" s="5"/>
      <c r="L22" s="18" t="str">
        <f>B24</f>
        <v>Plastics textile &amp; other</v>
      </c>
      <c r="M22" s="32">
        <f t="shared" si="7"/>
        <v>250</v>
      </c>
      <c r="N22" s="32">
        <f t="shared" si="8"/>
        <v>4</v>
      </c>
      <c r="O22" s="32">
        <f t="shared" si="9"/>
        <v>1000</v>
      </c>
      <c r="P22" s="33">
        <f t="shared" si="10"/>
        <v>45010</v>
      </c>
    </row>
    <row r="23" spans="2:16" ht="15" thickBot="1" x14ac:dyDescent="0.4">
      <c r="B23" s="18" t="s">
        <v>189</v>
      </c>
      <c r="C23" s="32">
        <f>RawMaterialsBEV!C21</f>
        <v>900</v>
      </c>
      <c r="D23" s="32">
        <f>H23*$H$35/$H$31</f>
        <v>0.52258994800000003</v>
      </c>
      <c r="E23" s="32">
        <f t="shared" si="5"/>
        <v>470.33095320000001</v>
      </c>
      <c r="F23" s="33">
        <v>45055</v>
      </c>
      <c r="G23" s="8"/>
      <c r="H23" s="5">
        <v>3677</v>
      </c>
      <c r="I23" s="5"/>
      <c r="J23" s="5"/>
      <c r="L23" s="22" t="str">
        <f>B25</f>
        <v>Total vehicle weight</v>
      </c>
      <c r="M23" s="81">
        <f>C25</f>
        <v>1632.07392</v>
      </c>
      <c r="N23" s="34" t="str">
        <f>D25</f>
        <v>Total cost</v>
      </c>
      <c r="O23" s="34">
        <f>E25</f>
        <v>6598.0605615411205</v>
      </c>
      <c r="P23" s="25"/>
    </row>
    <row r="24" spans="2:16" ht="15" thickTop="1" x14ac:dyDescent="0.35">
      <c r="B24" s="18" t="s">
        <v>316</v>
      </c>
      <c r="C24" s="32">
        <f>RawMaterialsBEV!C22</f>
        <v>250</v>
      </c>
      <c r="D24" s="32">
        <v>4</v>
      </c>
      <c r="E24" s="32">
        <f t="shared" si="5"/>
        <v>1000</v>
      </c>
      <c r="F24" s="33">
        <v>45010</v>
      </c>
      <c r="H24" s="5"/>
      <c r="I24" s="5"/>
      <c r="J24" s="5"/>
      <c r="L24" s="113" t="str">
        <f>B26</f>
        <v>Sources: Follow link below video to download spreadsheet containing clickable sources</v>
      </c>
    </row>
    <row r="25" spans="2:16" ht="15" thickBot="1" x14ac:dyDescent="0.4">
      <c r="B25" s="22" t="s">
        <v>25</v>
      </c>
      <c r="C25" s="81">
        <f>SUM(C10:C13,C16:C24)</f>
        <v>1632.07392</v>
      </c>
      <c r="D25" s="34" t="s">
        <v>54</v>
      </c>
      <c r="E25" s="34">
        <f>SUM(E10:E13,E16:E24)</f>
        <v>6598.0605615411205</v>
      </c>
      <c r="F25" s="25"/>
      <c r="H25" s="5"/>
      <c r="I25" s="5"/>
      <c r="J25" s="5"/>
    </row>
    <row r="26" spans="2:16" ht="15" thickTop="1" x14ac:dyDescent="0.35">
      <c r="B26" s="113" t="s">
        <v>463</v>
      </c>
    </row>
    <row r="27" spans="2:16" x14ac:dyDescent="0.35">
      <c r="B27" s="4"/>
    </row>
    <row r="28" spans="2:16" x14ac:dyDescent="0.35">
      <c r="B28" s="6" t="str">
        <f>RawMaterialsBEV!B25</f>
        <v>Sources and attribution</v>
      </c>
      <c r="C28" s="6"/>
      <c r="D28" s="6"/>
      <c r="E28" s="7"/>
      <c r="F28" s="7"/>
      <c r="H28" s="4" t="s">
        <v>6</v>
      </c>
    </row>
    <row r="29" spans="2:16" x14ac:dyDescent="0.35">
      <c r="H29" s="5">
        <v>20000000</v>
      </c>
      <c r="I29" t="s">
        <v>465</v>
      </c>
    </row>
    <row r="30" spans="2:16" x14ac:dyDescent="0.35">
      <c r="B30" s="4" t="str">
        <f>RawMaterialsBEV!B27</f>
        <v>Material type</v>
      </c>
      <c r="C30" s="4" t="str">
        <f>RawMaterialsBEV!C27</f>
        <v xml:space="preserve">1 average BEV </v>
      </c>
      <c r="D30" s="4" t="s">
        <v>30</v>
      </c>
      <c r="E30" s="4" t="s">
        <v>32</v>
      </c>
      <c r="F30" s="4" t="s">
        <v>33</v>
      </c>
      <c r="H30" s="5">
        <v>100000000</v>
      </c>
      <c r="I30" t="s">
        <v>466</v>
      </c>
    </row>
    <row r="31" spans="2:16" x14ac:dyDescent="0.35">
      <c r="B31" s="4"/>
      <c r="C31" s="4" t="str">
        <f>RawMaterialsBEV!C28</f>
        <v>in kg per vehicle</v>
      </c>
      <c r="E31" s="4" t="s">
        <v>31</v>
      </c>
      <c r="F31" t="s">
        <v>34</v>
      </c>
      <c r="H31">
        <v>1000</v>
      </c>
      <c r="I31" t="s">
        <v>16</v>
      </c>
    </row>
    <row r="32" spans="2:16" x14ac:dyDescent="0.35">
      <c r="B32" s="4" t="str">
        <f>RawMaterialsBEV!B29</f>
        <v>Graphite battery cells 19% 83kWh</v>
      </c>
      <c r="C32" s="9" t="s">
        <v>27</v>
      </c>
      <c r="D32" s="9" t="s">
        <v>814</v>
      </c>
      <c r="E32" s="9" t="s">
        <v>813</v>
      </c>
      <c r="F32" s="9" t="s">
        <v>457</v>
      </c>
      <c r="G32" t="s">
        <v>817</v>
      </c>
      <c r="H32">
        <v>2.2000000000000002</v>
      </c>
      <c r="I32" t="s">
        <v>545</v>
      </c>
    </row>
    <row r="33" spans="2:10" x14ac:dyDescent="0.35">
      <c r="B33" s="4" t="str">
        <f>B11</f>
        <v>Hard carbon (Na-ion cells, anode)</v>
      </c>
      <c r="C33" t="s">
        <v>444</v>
      </c>
      <c r="D33" s="9" t="s">
        <v>445</v>
      </c>
      <c r="E33" t="s">
        <v>15</v>
      </c>
      <c r="H33" t="s">
        <v>42</v>
      </c>
      <c r="I33" s="9" t="s">
        <v>43</v>
      </c>
    </row>
    <row r="34" spans="2:10" x14ac:dyDescent="0.35">
      <c r="B34" s="4" t="str">
        <f>RawMaterialsBEV!B30</f>
        <v>Nickel battery cells 20% 83kWh</v>
      </c>
      <c r="C34" s="9" t="s">
        <v>14</v>
      </c>
      <c r="D34" s="9" t="s">
        <v>35</v>
      </c>
      <c r="E34" t="s">
        <v>15</v>
      </c>
      <c r="I34" s="9"/>
    </row>
    <row r="35" spans="2:10" x14ac:dyDescent="0.35">
      <c r="B35" s="4" t="str">
        <f>RawMaterialsBEV!B31</f>
        <v xml:space="preserve">Lithium carbonate or equivalent </v>
      </c>
      <c r="C35" s="9" t="s">
        <v>40</v>
      </c>
      <c r="D35" s="9" t="s">
        <v>41</v>
      </c>
      <c r="E35" t="s">
        <v>15</v>
      </c>
      <c r="H35">
        <v>0.142124</v>
      </c>
      <c r="I35" t="s">
        <v>153</v>
      </c>
      <c r="J35" s="33">
        <v>45065</v>
      </c>
    </row>
    <row r="36" spans="2:10" x14ac:dyDescent="0.35">
      <c r="B36" s="4" t="str">
        <f>RawMaterialsBEV!$B$32</f>
        <v>Lithium battery cells 2.7% 83kWh</v>
      </c>
      <c r="C36" t="s">
        <v>15</v>
      </c>
      <c r="H36" t="s">
        <v>89</v>
      </c>
    </row>
    <row r="37" spans="2:10" x14ac:dyDescent="0.35">
      <c r="B37" s="4" t="s">
        <v>430</v>
      </c>
      <c r="C37" s="9" t="s">
        <v>429</v>
      </c>
      <c r="D37" s="9" t="s">
        <v>793</v>
      </c>
      <c r="E37" s="9" t="s">
        <v>431</v>
      </c>
      <c r="F37" t="s">
        <v>15</v>
      </c>
    </row>
    <row r="38" spans="2:10" x14ac:dyDescent="0.35">
      <c r="B38" s="4" t="str">
        <f>RawMaterialsBEV!B33</f>
        <v>Copper (battery, motor, wires)</v>
      </c>
      <c r="C38" t="str">
        <f>RawMaterialsBEV!C33</f>
        <v>-</v>
      </c>
      <c r="D38" s="9" t="s">
        <v>45</v>
      </c>
      <c r="E38" t="s">
        <v>15</v>
      </c>
    </row>
    <row r="39" spans="2:10" x14ac:dyDescent="0.35">
      <c r="B39" s="4" t="str">
        <f>RawMaterialsBEV!B34</f>
        <v>Manganese (batteries, steel alloy)</v>
      </c>
      <c r="C39" t="str">
        <f>RawMaterialsBEV!C34</f>
        <v>https://chem.libretexts.org/Ancillary_Materials/Laboratory_Experiments/Wet_Lab_Experiments/Analytical_Chemistry_Labs/Determination_of_the_Mn_Content_of_Steel</v>
      </c>
      <c r="D39" s="9" t="s">
        <v>46</v>
      </c>
      <c r="E39" t="s">
        <v>15</v>
      </c>
      <c r="H39" s="65">
        <f>D13*(1/RawMaterialsBEV!I31)</f>
        <v>171.36601300000001</v>
      </c>
      <c r="I39" t="s">
        <v>90</v>
      </c>
    </row>
    <row r="40" spans="2:10" x14ac:dyDescent="0.35">
      <c r="B40" s="4" t="str">
        <f>RawMaterialsBEV!B35</f>
        <v>Magnesium (VW Beetle)</v>
      </c>
      <c r="D40" s="9" t="s">
        <v>242</v>
      </c>
      <c r="E40" t="s">
        <v>15</v>
      </c>
    </row>
    <row r="41" spans="2:10" x14ac:dyDescent="0.35">
      <c r="B41" s="18" t="s">
        <v>245</v>
      </c>
      <c r="D41" s="9" t="s">
        <v>476</v>
      </c>
      <c r="E41" t="s">
        <v>15</v>
      </c>
    </row>
    <row r="42" spans="2:10" x14ac:dyDescent="0.35">
      <c r="B42" s="4" t="str">
        <f>RawMaterialsBEV!B37</f>
        <v>Cobalt in battery cells 2%, 83kWh</v>
      </c>
      <c r="C42" t="str">
        <f>RawMaterialsBEV!C37</f>
        <v>See notes below</v>
      </c>
      <c r="D42" s="9" t="s">
        <v>44</v>
      </c>
      <c r="E42" t="s">
        <v>15</v>
      </c>
    </row>
    <row r="43" spans="2:10" x14ac:dyDescent="0.35">
      <c r="B43" s="4" t="str">
        <f>RawMaterialsBEV!B38</f>
        <v>Rare earth (fx Nd, Pr, Dy, Tb)</v>
      </c>
      <c r="C43" t="str">
        <f>RawMaterialsBEV!C38</f>
        <v>-</v>
      </c>
      <c r="D43" s="9" t="s">
        <v>47</v>
      </c>
      <c r="E43" t="s">
        <v>48</v>
      </c>
    </row>
    <row r="44" spans="2:10" x14ac:dyDescent="0.35">
      <c r="B44" s="4" t="str">
        <f>RawMaterialsBEV!B39</f>
        <v>Aluminum (vehicle GM Volt))</v>
      </c>
      <c r="C44" t="str">
        <f>RawMaterialsBEV!C39</f>
        <v>-</v>
      </c>
      <c r="D44" s="9" t="s">
        <v>49</v>
      </c>
      <c r="E44" t="s">
        <v>15</v>
      </c>
    </row>
    <row r="45" spans="2:10" x14ac:dyDescent="0.35">
      <c r="B45" s="4" t="str">
        <f>RawMaterialsBEV!B40</f>
        <v>Crude steel https://kdmfab.com/mild-steel-vs-stainless-steel/</v>
      </c>
      <c r="C45" t="str">
        <f>RawMaterialsBEV!C40</f>
        <v>My own estimate</v>
      </c>
      <c r="D45" s="9" t="s">
        <v>50</v>
      </c>
      <c r="E45" t="s">
        <v>15</v>
      </c>
    </row>
    <row r="46" spans="2:10" x14ac:dyDescent="0.35">
      <c r="B46" s="4" t="str">
        <f>RawMaterialsBEV!B41</f>
        <v>Other textile and plastic</v>
      </c>
      <c r="C46" t="str">
        <f>RawMaterialsBEV!C41</f>
        <v>My own estimate</v>
      </c>
      <c r="D46" t="s">
        <v>52</v>
      </c>
      <c r="E46" t="s">
        <v>15</v>
      </c>
    </row>
  </sheetData>
  <hyperlinks>
    <hyperlink ref="I33" r:id="rId1" xr:uid="{F2DB019C-C5B0-47E1-B2FC-FE95179BB327}"/>
    <hyperlink ref="C32" r:id="rId2" location=":~:text=Graphite%20is%20thus%20considered%20indispensable,containing%2020%2D30%25%20graphite." xr:uid="{D26CEEFC-2988-4AF3-B8E5-E60126C7E035}"/>
    <hyperlink ref="C34" r:id="rId3" xr:uid="{4CA6625B-EC57-41FF-96B8-427E8AAA3D5F}"/>
    <hyperlink ref="C35" r:id="rId4" xr:uid="{ABBA38C2-8F95-4002-B037-DCE81B253A54}"/>
    <hyperlink ref="D34" r:id="rId5" xr:uid="{38B0FA00-F0D4-439D-961C-9E6ED01B6D2F}"/>
    <hyperlink ref="D35" r:id="rId6" xr:uid="{E46A920F-709D-44E8-9C7D-A148FC0489A6}"/>
    <hyperlink ref="D38" r:id="rId7" xr:uid="{4BDC15F0-0D5A-4D93-8623-E0B507DC7BC4}"/>
    <hyperlink ref="D39" r:id="rId8" xr:uid="{3DF82D6D-9798-4277-B846-F88C6BABF82B}"/>
    <hyperlink ref="D42" r:id="rId9" xr:uid="{CF487FAC-7BEE-4BFF-887D-AE63A84AD4F6}"/>
    <hyperlink ref="D43" r:id="rId10" xr:uid="{B82EA03E-CBA8-4339-AA59-A000AB1CE05F}"/>
    <hyperlink ref="D44" r:id="rId11" xr:uid="{AD7E383F-8C05-4552-9CC9-BF0C05C19F4D}"/>
    <hyperlink ref="D45" r:id="rId12" xr:uid="{98284CE7-9A80-495A-9921-AC0949BB9DD2}"/>
    <hyperlink ref="C37" r:id="rId13" xr:uid="{DAE0A4EC-0976-49E8-84CE-5F167855162C}"/>
    <hyperlink ref="E37" r:id="rId14" location=":~:text=In%20August%202022%2C%20the%20sodium%20carbonate%20price%20per,in%20February%202022%20an%20increase%20of%2015%25%20m-o-m." xr:uid="{1133D90F-F24C-4AD4-9B28-B14032619D17}"/>
    <hyperlink ref="D33" r:id="rId15" xr:uid="{8266D33A-7CED-48DC-8AB5-10650ACCA0C1}"/>
    <hyperlink ref="F32" r:id="rId16" xr:uid="{DDF60068-A860-4230-9D75-ED1E7BC3FEA0}"/>
    <hyperlink ref="D41" r:id="rId17" xr:uid="{3057BBA3-1372-43BF-A31D-05ADA845C3CC}"/>
    <hyperlink ref="D40" r:id="rId18" xr:uid="{BB0A3BB7-664A-41E9-9F4C-A592ECDF1DCB}"/>
    <hyperlink ref="D37" r:id="rId19" xr:uid="{E362BC93-2E98-4656-96EC-09922CDAF489}"/>
    <hyperlink ref="E32" r:id="rId20" xr:uid="{9ED78ABC-F998-4FDF-BAF6-7739BC96003E}"/>
    <hyperlink ref="D32" r:id="rId21" xr:uid="{4D2515CB-BA72-4926-A389-C2760DE8148D}"/>
    <hyperlink ref="I11" r:id="rId22" xr:uid="{EA10A1D9-713D-4D1D-A6A8-E2F084F56797}"/>
  </hyperlinks>
  <pageMargins left="0.7" right="0.7" top="0.75" bottom="0.75" header="0.3" footer="0.3"/>
  <pageSetup orientation="portrait" r:id="rId2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9CDD7-7E5A-4683-A4BF-52B05105A1D4}">
  <dimension ref="A1:O30"/>
  <sheetViews>
    <sheetView workbookViewId="0">
      <selection activeCell="D29" sqref="D29"/>
    </sheetView>
  </sheetViews>
  <sheetFormatPr defaultRowHeight="14.5" x14ac:dyDescent="0.35"/>
  <cols>
    <col min="3" max="3" width="17" customWidth="1"/>
    <col min="4" max="4" width="20.6328125" customWidth="1"/>
    <col min="5" max="5" width="13.6328125" customWidth="1"/>
    <col min="6" max="6" width="12.7265625" customWidth="1"/>
    <col min="7" max="7" width="9.36328125" customWidth="1"/>
    <col min="12" max="12" width="21.90625" customWidth="1"/>
    <col min="13" max="13" width="19.08984375" customWidth="1"/>
    <col min="14" max="14" width="9.453125" customWidth="1"/>
  </cols>
  <sheetData>
    <row r="1" spans="1:14" ht="28.5" x14ac:dyDescent="0.65">
      <c r="A1" s="2" t="str">
        <f>RawMaterialsBEV!A1</f>
        <v>Batteries - In debt cost and scalability analysis #22</v>
      </c>
    </row>
    <row r="3" spans="1:14" ht="15.5" x14ac:dyDescent="0.35">
      <c r="A3" s="1" t="str">
        <f>RawMaterialsBEV!A3</f>
        <v>Proprietary. © H. Mathiesen. This material can be used by others free of charge provided that the author H. Mathiesen is attributed and a clickable link is made visible to the location of used material on www.hmexperience.dk</v>
      </c>
    </row>
    <row r="4" spans="1:14" ht="15.5" x14ac:dyDescent="0.35">
      <c r="A4" s="1" t="str">
        <f>RawMaterialsBEV!A4</f>
        <v>Sources to all information used in this spreadsheet can also be found in associated PowerPoint presentation located also at www.hmexperience.dk</v>
      </c>
    </row>
    <row r="8" spans="1:14" x14ac:dyDescent="0.35">
      <c r="C8" t="s">
        <v>20</v>
      </c>
      <c r="D8">
        <v>2022</v>
      </c>
      <c r="L8" t="s">
        <v>20</v>
      </c>
      <c r="M8">
        <v>2018</v>
      </c>
    </row>
    <row r="10" spans="1:14" ht="18.5" x14ac:dyDescent="0.45">
      <c r="C10" s="77" t="s">
        <v>227</v>
      </c>
      <c r="L10" s="77" t="s">
        <v>589</v>
      </c>
    </row>
    <row r="11" spans="1:14" x14ac:dyDescent="0.35">
      <c r="C11" s="66" t="s">
        <v>122</v>
      </c>
      <c r="D11" s="66" t="s">
        <v>95</v>
      </c>
      <c r="E11" s="66" t="s">
        <v>124</v>
      </c>
      <c r="F11" s="66" t="s">
        <v>590</v>
      </c>
      <c r="G11" s="66" t="s">
        <v>124</v>
      </c>
      <c r="L11" s="66" t="s">
        <v>122</v>
      </c>
      <c r="M11" s="66" t="s">
        <v>95</v>
      </c>
      <c r="N11" s="66" t="s">
        <v>124</v>
      </c>
    </row>
    <row r="12" spans="1:14" x14ac:dyDescent="0.35">
      <c r="C12" s="4"/>
      <c r="L12" s="4"/>
      <c r="M12" s="4" t="s">
        <v>588</v>
      </c>
    </row>
    <row r="13" spans="1:14" x14ac:dyDescent="0.35">
      <c r="C13" s="76" t="s">
        <v>103</v>
      </c>
      <c r="D13" s="5">
        <v>17000000</v>
      </c>
      <c r="E13" s="8">
        <f>D13/D$27</f>
        <v>0.64270559395826499</v>
      </c>
      <c r="F13" s="5">
        <v>580000000</v>
      </c>
      <c r="G13" s="8">
        <f>F13/F$27</f>
        <v>0.13611828209340529</v>
      </c>
      <c r="L13" s="76" t="s">
        <v>229</v>
      </c>
      <c r="M13" s="5">
        <v>800</v>
      </c>
      <c r="N13" s="8">
        <f t="shared" ref="N13:N23" si="0">M13/M$23</f>
        <v>0.78277886497064575</v>
      </c>
    </row>
    <row r="14" spans="1:14" x14ac:dyDescent="0.35">
      <c r="C14" s="76" t="s">
        <v>97</v>
      </c>
      <c r="D14" s="5">
        <v>2600000</v>
      </c>
      <c r="E14" s="8">
        <f t="shared" ref="E14:G27" si="1">D14/D$27</f>
        <v>9.8296149664205232E-2</v>
      </c>
      <c r="F14" s="5">
        <v>290000000</v>
      </c>
      <c r="G14" s="8">
        <f t="shared" si="1"/>
        <v>6.8059141046702645E-2</v>
      </c>
      <c r="L14" s="76" t="s">
        <v>222</v>
      </c>
      <c r="M14" s="5">
        <v>65</v>
      </c>
      <c r="N14" s="8">
        <f t="shared" si="0"/>
        <v>6.3600782778864967E-2</v>
      </c>
    </row>
    <row r="15" spans="1:14" x14ac:dyDescent="0.35">
      <c r="C15" s="76" t="s">
        <v>221</v>
      </c>
      <c r="D15" s="5">
        <v>1800000</v>
      </c>
      <c r="E15" s="8">
        <f t="shared" si="1"/>
        <v>6.8051180536757461E-2</v>
      </c>
      <c r="F15" s="5">
        <v>110000000</v>
      </c>
      <c r="G15" s="8">
        <f t="shared" si="1"/>
        <v>2.5815536259094111E-2</v>
      </c>
      <c r="L15" s="76" t="s">
        <v>118</v>
      </c>
      <c r="M15" s="5">
        <v>50</v>
      </c>
      <c r="N15" s="8">
        <f t="shared" si="0"/>
        <v>4.8923679060665359E-2</v>
      </c>
    </row>
    <row r="16" spans="1:14" x14ac:dyDescent="0.35">
      <c r="C16" s="76" t="s">
        <v>100</v>
      </c>
      <c r="D16" s="5">
        <v>1500000</v>
      </c>
      <c r="E16" s="8">
        <f t="shared" si="1"/>
        <v>5.6709317113964555E-2</v>
      </c>
      <c r="F16" s="5">
        <v>200000000</v>
      </c>
      <c r="G16" s="8">
        <f t="shared" si="1"/>
        <v>4.6937338652898383E-2</v>
      </c>
      <c r="L16" s="76" t="s">
        <v>230</v>
      </c>
      <c r="M16" s="5">
        <v>25</v>
      </c>
      <c r="N16" s="8">
        <f t="shared" si="0"/>
        <v>2.446183953033268E-2</v>
      </c>
    </row>
    <row r="17" spans="3:15" x14ac:dyDescent="0.35">
      <c r="C17" s="76" t="s">
        <v>222</v>
      </c>
      <c r="D17" s="5">
        <v>950000</v>
      </c>
      <c r="E17" s="8">
        <f t="shared" si="1"/>
        <v>3.5915900838844217E-2</v>
      </c>
      <c r="F17" s="5">
        <v>2300000000</v>
      </c>
      <c r="G17" s="8">
        <f t="shared" si="1"/>
        <v>0.53977939450833134</v>
      </c>
      <c r="L17" s="76" t="s">
        <v>110</v>
      </c>
      <c r="M17" s="5">
        <v>23</v>
      </c>
      <c r="N17" s="8">
        <f t="shared" si="0"/>
        <v>2.2504892367906065E-2</v>
      </c>
    </row>
    <row r="18" spans="3:15" x14ac:dyDescent="0.35">
      <c r="C18" s="76" t="s">
        <v>98</v>
      </c>
      <c r="D18" s="5">
        <v>800000</v>
      </c>
      <c r="E18" s="8">
        <f t="shared" si="1"/>
        <v>3.0244969127447764E-2</v>
      </c>
      <c r="F18" s="5">
        <v>49000000</v>
      </c>
      <c r="G18" s="8">
        <f t="shared" si="1"/>
        <v>1.1499647969960104E-2</v>
      </c>
      <c r="L18" s="76" t="s">
        <v>232</v>
      </c>
      <c r="M18" s="5">
        <v>19</v>
      </c>
      <c r="N18" s="8">
        <f t="shared" si="0"/>
        <v>1.8590998043052837E-2</v>
      </c>
    </row>
    <row r="19" spans="3:15" x14ac:dyDescent="0.35">
      <c r="C19" s="76" t="s">
        <v>117</v>
      </c>
      <c r="D19" s="5">
        <v>620000</v>
      </c>
      <c r="E19" s="8">
        <f t="shared" si="1"/>
        <v>2.3439851073772017E-2</v>
      </c>
      <c r="F19" s="5">
        <v>35000000</v>
      </c>
      <c r="G19" s="8">
        <f t="shared" si="1"/>
        <v>8.2140342642572171E-3</v>
      </c>
      <c r="L19" s="76" t="s">
        <v>233</v>
      </c>
      <c r="M19" s="5">
        <v>15</v>
      </c>
      <c r="N19" s="8">
        <f t="shared" si="0"/>
        <v>1.4677103718199608E-2</v>
      </c>
    </row>
    <row r="20" spans="3:15" x14ac:dyDescent="0.35">
      <c r="C20" s="76" t="s">
        <v>223</v>
      </c>
      <c r="D20" s="5">
        <v>510000</v>
      </c>
      <c r="E20" s="8">
        <f t="shared" si="1"/>
        <v>1.928116781874795E-2</v>
      </c>
      <c r="F20" s="5">
        <v>280000000</v>
      </c>
      <c r="G20" s="8">
        <f t="shared" si="1"/>
        <v>6.5712274114057737E-2</v>
      </c>
      <c r="L20" s="76" t="s">
        <v>234</v>
      </c>
      <c r="M20" s="5">
        <v>10</v>
      </c>
      <c r="N20" s="8">
        <f t="shared" si="0"/>
        <v>9.7847358121330719E-3</v>
      </c>
    </row>
    <row r="21" spans="3:15" x14ac:dyDescent="0.35">
      <c r="C21" s="76" t="s">
        <v>224</v>
      </c>
      <c r="D21" s="5">
        <v>480000</v>
      </c>
      <c r="E21" s="8">
        <f t="shared" si="1"/>
        <v>1.8146981476468659E-2</v>
      </c>
      <c r="F21" s="5">
        <v>370000000</v>
      </c>
      <c r="G21" s="8">
        <f t="shared" si="1"/>
        <v>8.6834076507861999E-2</v>
      </c>
      <c r="L21" s="76" t="s">
        <v>235</v>
      </c>
      <c r="M21" s="5">
        <v>10</v>
      </c>
      <c r="N21" s="8">
        <f t="shared" si="0"/>
        <v>9.7847358121330719E-3</v>
      </c>
    </row>
    <row r="22" spans="3:15" x14ac:dyDescent="0.35">
      <c r="C22" s="76" t="s">
        <v>225</v>
      </c>
      <c r="D22" s="5">
        <v>190000</v>
      </c>
      <c r="E22" s="8">
        <f t="shared" si="1"/>
        <v>7.1831801677688439E-3</v>
      </c>
      <c r="F22" s="5">
        <v>12000000</v>
      </c>
      <c r="G22" s="8">
        <f t="shared" si="1"/>
        <v>2.8162403191739028E-3</v>
      </c>
      <c r="L22" s="76" t="s">
        <v>231</v>
      </c>
      <c r="M22" s="5">
        <v>5</v>
      </c>
      <c r="N22" s="8">
        <f t="shared" si="0"/>
        <v>4.8923679060665359E-3</v>
      </c>
    </row>
    <row r="23" spans="3:15" x14ac:dyDescent="0.35">
      <c r="C23" s="76" t="s">
        <v>101</v>
      </c>
      <c r="D23" s="5">
        <v>180</v>
      </c>
      <c r="E23" s="8">
        <f t="shared" si="1"/>
        <v>6.8051180536757464E-6</v>
      </c>
      <c r="F23" s="5" t="s">
        <v>15</v>
      </c>
      <c r="G23" s="8" t="s">
        <v>15</v>
      </c>
      <c r="L23" s="76" t="s">
        <v>228</v>
      </c>
      <c r="M23" s="78">
        <f>SUM(M13:M22)</f>
        <v>1022</v>
      </c>
      <c r="N23" s="79">
        <f t="shared" si="0"/>
        <v>1</v>
      </c>
    </row>
    <row r="24" spans="3:15" x14ac:dyDescent="0.35">
      <c r="C24" s="76" t="s">
        <v>109</v>
      </c>
      <c r="D24" s="5">
        <v>100</v>
      </c>
      <c r="E24" s="8">
        <f t="shared" si="1"/>
        <v>3.7806211409309704E-6</v>
      </c>
      <c r="F24" s="5" t="s">
        <v>15</v>
      </c>
      <c r="G24" s="8" t="s">
        <v>15</v>
      </c>
    </row>
    <row r="25" spans="3:15" x14ac:dyDescent="0.35">
      <c r="C25" s="76" t="s">
        <v>591</v>
      </c>
      <c r="D25" s="5" t="s">
        <v>15</v>
      </c>
      <c r="E25" s="8" t="s">
        <v>15</v>
      </c>
      <c r="F25" s="5">
        <v>35000000</v>
      </c>
      <c r="G25" s="8" t="s">
        <v>15</v>
      </c>
    </row>
    <row r="26" spans="3:15" x14ac:dyDescent="0.35">
      <c r="C26" s="76" t="s">
        <v>226</v>
      </c>
      <c r="D26" s="5">
        <v>400</v>
      </c>
      <c r="E26" s="8">
        <f t="shared" si="1"/>
        <v>1.5122484563723882E-5</v>
      </c>
      <c r="F26" s="5" t="s">
        <v>15</v>
      </c>
      <c r="G26" s="8" t="s">
        <v>15</v>
      </c>
      <c r="L26" s="4" t="s">
        <v>213</v>
      </c>
      <c r="M26" s="9" t="s">
        <v>236</v>
      </c>
      <c r="N26" t="s">
        <v>15</v>
      </c>
    </row>
    <row r="27" spans="3:15" x14ac:dyDescent="0.35">
      <c r="C27" s="76" t="s">
        <v>228</v>
      </c>
      <c r="D27" s="78">
        <f>SUM(D13:D26)</f>
        <v>26450680</v>
      </c>
      <c r="E27" s="79">
        <f t="shared" si="1"/>
        <v>1</v>
      </c>
      <c r="F27" s="78">
        <f>SUM(F13:F26)</f>
        <v>4261000000</v>
      </c>
      <c r="G27" s="79">
        <f t="shared" si="1"/>
        <v>1</v>
      </c>
      <c r="L27" s="76" t="s">
        <v>237</v>
      </c>
      <c r="N27" s="9" t="s">
        <v>238</v>
      </c>
      <c r="O27" t="s">
        <v>15</v>
      </c>
    </row>
    <row r="29" spans="3:15" x14ac:dyDescent="0.35">
      <c r="C29" s="4" t="s">
        <v>594</v>
      </c>
      <c r="D29" s="9" t="s">
        <v>239</v>
      </c>
      <c r="E29" t="s">
        <v>15</v>
      </c>
    </row>
    <row r="30" spans="3:15" x14ac:dyDescent="0.35">
      <c r="C30" s="76" t="s">
        <v>592</v>
      </c>
      <c r="D30" s="9" t="s">
        <v>593</v>
      </c>
      <c r="E30" t="s">
        <v>15</v>
      </c>
    </row>
  </sheetData>
  <hyperlinks>
    <hyperlink ref="M26" r:id="rId1" xr:uid="{E22823B8-24EA-4037-B465-2B8053A0CC4E}"/>
    <hyperlink ref="N27" r:id="rId2" xr:uid="{6A30677D-41E8-4924-862F-8325F9F047B9}"/>
    <hyperlink ref="D29" r:id="rId3" xr:uid="{67A5D0A0-3D1F-4C47-B394-A49645E206AE}"/>
    <hyperlink ref="D30" r:id="rId4" xr:uid="{0B61C6C3-9A88-4E44-8471-1A17E1B6BF02}"/>
  </hyperlinks>
  <pageMargins left="0.7" right="0.7" top="0.75" bottom="0.75" header="0.3" footer="0.3"/>
  <pageSetup orientation="portrait" verticalDpi="0"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EE275-11C4-4A9F-A0E5-DB3E20274B4C}">
  <dimension ref="A1:O34"/>
  <sheetViews>
    <sheetView topLeftCell="B4" workbookViewId="0">
      <selection activeCell="R11" sqref="R11"/>
    </sheetView>
  </sheetViews>
  <sheetFormatPr defaultRowHeight="14.5" x14ac:dyDescent="0.35"/>
  <cols>
    <col min="4" max="4" width="15.1796875" customWidth="1"/>
    <col min="5" max="5" width="28.36328125" customWidth="1"/>
    <col min="6" max="6" width="27.453125" customWidth="1"/>
    <col min="7" max="7" width="16.7265625" customWidth="1"/>
    <col min="8" max="8" width="21.90625" customWidth="1"/>
    <col min="9" max="9" width="16.6328125" customWidth="1"/>
    <col min="10" max="10" width="9.08984375" customWidth="1"/>
    <col min="11" max="11" width="16.54296875" customWidth="1"/>
    <col min="12" max="12" width="9.08984375" customWidth="1"/>
    <col min="14" max="14" width="23.54296875" customWidth="1"/>
    <col min="15" max="15" width="24.26953125" customWidth="1"/>
  </cols>
  <sheetData>
    <row r="1" spans="1:15" ht="28.5" x14ac:dyDescent="0.65">
      <c r="A1" s="2" t="str">
        <f>RawMaterialsBEV!A1</f>
        <v>Batteries - In debt cost and scalability analysis #22</v>
      </c>
    </row>
    <row r="3" spans="1:15" ht="15.5" x14ac:dyDescent="0.35">
      <c r="A3" s="1" t="str">
        <f>RawMaterialsBEV!A3</f>
        <v>Proprietary. © H. Mathiesen. This material can be used by others free of charge provided that the author H. Mathiesen is attributed and a clickable link is made visible to the location of used material on www.hmexperience.dk</v>
      </c>
    </row>
    <row r="4" spans="1:15" ht="15.5" x14ac:dyDescent="0.35">
      <c r="A4" s="1" t="str">
        <f>RawMaterialsBEV!A4</f>
        <v>Sources to all information used in this spreadsheet can also be found in associated PowerPoint presentation located also at www.hmexperience.dk</v>
      </c>
    </row>
    <row r="8" spans="1:15" ht="21.5" thickBot="1" x14ac:dyDescent="0.55000000000000004">
      <c r="D8" s="11" t="s">
        <v>399</v>
      </c>
      <c r="H8" s="11" t="s">
        <v>418</v>
      </c>
      <c r="N8" s="106" t="s">
        <v>872</v>
      </c>
    </row>
    <row r="9" spans="1:15" ht="15" thickTop="1" x14ac:dyDescent="0.35">
      <c r="D9" s="4" t="s">
        <v>122</v>
      </c>
      <c r="E9" s="4" t="s">
        <v>396</v>
      </c>
      <c r="F9" s="4" t="s">
        <v>397</v>
      </c>
      <c r="H9" s="173" t="s">
        <v>122</v>
      </c>
      <c r="I9" s="174" t="s">
        <v>419</v>
      </c>
      <c r="J9" s="174" t="s">
        <v>421</v>
      </c>
      <c r="K9" s="174" t="s">
        <v>420</v>
      </c>
      <c r="L9" s="175" t="s">
        <v>421</v>
      </c>
      <c r="N9" s="143" t="s">
        <v>204</v>
      </c>
      <c r="O9" s="154" t="s">
        <v>205</v>
      </c>
    </row>
    <row r="10" spans="1:15" x14ac:dyDescent="0.35">
      <c r="D10" s="4" t="s">
        <v>385</v>
      </c>
      <c r="E10" s="65">
        <v>6.2</v>
      </c>
      <c r="F10" s="65">
        <v>200</v>
      </c>
      <c r="H10" s="182"/>
      <c r="I10" s="176" t="s">
        <v>531</v>
      </c>
      <c r="J10" s="176"/>
      <c r="K10" s="176" t="s">
        <v>531</v>
      </c>
      <c r="L10" s="180"/>
      <c r="N10" s="54" t="s">
        <v>873</v>
      </c>
      <c r="O10" s="315">
        <v>0.9</v>
      </c>
    </row>
    <row r="11" spans="1:15" x14ac:dyDescent="0.35">
      <c r="D11" s="4" t="s">
        <v>232</v>
      </c>
      <c r="E11" s="65">
        <v>0.39</v>
      </c>
      <c r="F11" s="65">
        <v>140</v>
      </c>
      <c r="H11" s="54" t="s">
        <v>97</v>
      </c>
      <c r="I11" s="5">
        <v>3300</v>
      </c>
      <c r="J11" s="8">
        <f>I11/I$27</f>
        <v>0.16426082628173219</v>
      </c>
      <c r="K11" s="5">
        <v>270000</v>
      </c>
      <c r="L11" s="20">
        <f>K11/K$27</f>
        <v>0.15715948777648428</v>
      </c>
      <c r="N11" s="54" t="s">
        <v>874</v>
      </c>
      <c r="O11" s="315">
        <v>0.02</v>
      </c>
    </row>
    <row r="12" spans="1:15" x14ac:dyDescent="0.35">
      <c r="D12" s="4" t="s">
        <v>233</v>
      </c>
      <c r="E12" s="65">
        <v>1</v>
      </c>
      <c r="F12" s="65">
        <v>116</v>
      </c>
      <c r="H12" s="54" t="s">
        <v>100</v>
      </c>
      <c r="I12">
        <v>400</v>
      </c>
      <c r="J12" s="8">
        <f t="shared" ref="J12:L27" si="0">I12/I$27</f>
        <v>1.9910403185664508E-2</v>
      </c>
      <c r="K12" s="5">
        <v>270000</v>
      </c>
      <c r="L12" s="20">
        <f t="shared" si="0"/>
        <v>0.15715948777648428</v>
      </c>
      <c r="N12" s="54" t="s">
        <v>212</v>
      </c>
      <c r="O12" s="315">
        <f>O13-SUM(O10:O11)</f>
        <v>7.999999999999996E-2</v>
      </c>
    </row>
    <row r="13" spans="1:15" ht="15" thickBot="1" x14ac:dyDescent="0.4">
      <c r="D13" s="4" t="s">
        <v>386</v>
      </c>
      <c r="E13" s="65">
        <v>2.9</v>
      </c>
      <c r="F13" s="65">
        <v>91</v>
      </c>
      <c r="H13" s="54" t="s">
        <v>405</v>
      </c>
      <c r="I13">
        <v>200</v>
      </c>
      <c r="J13" s="8">
        <f t="shared" si="0"/>
        <v>9.9552015928322541E-3</v>
      </c>
      <c r="K13" s="177" t="s">
        <v>406</v>
      </c>
      <c r="L13" s="20"/>
      <c r="N13" s="64" t="s">
        <v>215</v>
      </c>
      <c r="O13" s="316">
        <v>1</v>
      </c>
    </row>
    <row r="14" spans="1:15" ht="15" thickTop="1" x14ac:dyDescent="0.35">
      <c r="D14" s="4" t="s">
        <v>387</v>
      </c>
      <c r="E14" s="65">
        <v>0.95</v>
      </c>
      <c r="F14" s="65">
        <v>52</v>
      </c>
      <c r="H14" s="54" t="s">
        <v>103</v>
      </c>
      <c r="I14" s="172">
        <v>990</v>
      </c>
      <c r="J14" s="136">
        <f t="shared" si="0"/>
        <v>4.9278247884519663E-2</v>
      </c>
      <c r="K14" s="178">
        <v>280000</v>
      </c>
      <c r="L14" s="137">
        <f t="shared" si="0"/>
        <v>0.16298020954598369</v>
      </c>
    </row>
    <row r="15" spans="1:15" x14ac:dyDescent="0.35">
      <c r="D15" s="4" t="s">
        <v>229</v>
      </c>
      <c r="E15" s="65">
        <v>3</v>
      </c>
      <c r="F15" s="65">
        <v>43</v>
      </c>
      <c r="H15" s="54" t="s">
        <v>407</v>
      </c>
      <c r="I15">
        <v>360</v>
      </c>
      <c r="J15" s="8">
        <f t="shared" si="0"/>
        <v>1.7919362867098058E-2</v>
      </c>
      <c r="K15" s="177" t="s">
        <v>406</v>
      </c>
      <c r="L15" s="20"/>
    </row>
    <row r="16" spans="1:15" x14ac:dyDescent="0.35">
      <c r="D16" s="4" t="s">
        <v>388</v>
      </c>
      <c r="E16" s="65">
        <v>1.8</v>
      </c>
      <c r="F16" s="65">
        <v>22</v>
      </c>
      <c r="H16" s="54" t="s">
        <v>408</v>
      </c>
      <c r="I16" s="5">
        <v>4600</v>
      </c>
      <c r="J16" s="8">
        <f t="shared" si="0"/>
        <v>0.22896963663514186</v>
      </c>
      <c r="K16" s="179">
        <v>61000</v>
      </c>
      <c r="L16" s="20">
        <f t="shared" si="0"/>
        <v>3.550640279394645E-2</v>
      </c>
      <c r="N16" t="s">
        <v>871</v>
      </c>
    </row>
    <row r="17" spans="4:14" x14ac:dyDescent="0.35">
      <c r="D17" s="4" t="s">
        <v>389</v>
      </c>
      <c r="E17" s="65">
        <v>0.39</v>
      </c>
      <c r="F17" s="65">
        <v>12</v>
      </c>
      <c r="H17" s="54" t="s">
        <v>409</v>
      </c>
      <c r="I17">
        <v>220</v>
      </c>
      <c r="J17" s="8">
        <f t="shared" si="0"/>
        <v>1.0950721752115481E-2</v>
      </c>
      <c r="K17" s="177" t="s">
        <v>406</v>
      </c>
      <c r="L17" s="20"/>
      <c r="N17" s="9" t="s">
        <v>867</v>
      </c>
    </row>
    <row r="18" spans="4:14" x14ac:dyDescent="0.35">
      <c r="D18" s="4" t="s">
        <v>390</v>
      </c>
      <c r="E18" s="65">
        <v>0.39</v>
      </c>
      <c r="F18" s="65">
        <v>5</v>
      </c>
      <c r="H18" s="54" t="s">
        <v>108</v>
      </c>
      <c r="I18">
        <v>940</v>
      </c>
      <c r="J18" s="8">
        <f t="shared" si="0"/>
        <v>4.67894474863116E-2</v>
      </c>
      <c r="K18" s="179">
        <v>13000</v>
      </c>
      <c r="L18" s="20">
        <f t="shared" si="0"/>
        <v>7.5669383003492434E-3</v>
      </c>
      <c r="N18" s="9" t="s">
        <v>870</v>
      </c>
    </row>
    <row r="19" spans="4:14" x14ac:dyDescent="0.35">
      <c r="D19" s="4" t="s">
        <v>391</v>
      </c>
      <c r="E19" s="65">
        <v>0.24</v>
      </c>
      <c r="F19" s="65">
        <v>5</v>
      </c>
      <c r="H19" s="54" t="s">
        <v>109</v>
      </c>
      <c r="I19">
        <v>480</v>
      </c>
      <c r="J19" s="8">
        <f t="shared" si="0"/>
        <v>2.3892483822797413E-2</v>
      </c>
      <c r="K19" s="179">
        <v>34000</v>
      </c>
      <c r="L19" s="20">
        <f t="shared" si="0"/>
        <v>1.9790454016298021E-2</v>
      </c>
      <c r="N19" t="s">
        <v>868</v>
      </c>
    </row>
    <row r="20" spans="4:14" x14ac:dyDescent="0.35">
      <c r="D20" s="4" t="s">
        <v>472</v>
      </c>
      <c r="E20" s="65">
        <v>0.4</v>
      </c>
      <c r="F20" s="170" t="s">
        <v>15</v>
      </c>
      <c r="H20" s="54" t="s">
        <v>410</v>
      </c>
      <c r="I20">
        <v>110</v>
      </c>
      <c r="J20" s="8">
        <f t="shared" si="0"/>
        <v>5.4753608760577405E-3</v>
      </c>
      <c r="K20" s="179">
        <v>5000</v>
      </c>
      <c r="L20" s="20">
        <f t="shared" si="0"/>
        <v>2.9103608847497091E-3</v>
      </c>
      <c r="N20" s="9" t="s">
        <v>867</v>
      </c>
    </row>
    <row r="21" spans="4:14" x14ac:dyDescent="0.35">
      <c r="D21" s="4" t="s">
        <v>398</v>
      </c>
      <c r="E21" s="65">
        <v>0.1</v>
      </c>
      <c r="F21" s="170" t="s">
        <v>15</v>
      </c>
      <c r="H21" s="54" t="s">
        <v>411</v>
      </c>
      <c r="I21">
        <v>360</v>
      </c>
      <c r="J21" s="8">
        <f t="shared" si="0"/>
        <v>1.7919362867098058E-2</v>
      </c>
      <c r="K21" s="177" t="s">
        <v>406</v>
      </c>
      <c r="L21" s="20"/>
    </row>
    <row r="22" spans="4:14" x14ac:dyDescent="0.35">
      <c r="D22" s="4" t="s">
        <v>198</v>
      </c>
      <c r="E22" s="65">
        <v>0.74</v>
      </c>
      <c r="F22" s="65" t="s">
        <v>15</v>
      </c>
      <c r="H22" s="54" t="s">
        <v>112</v>
      </c>
      <c r="I22">
        <v>230</v>
      </c>
      <c r="J22" s="8">
        <f t="shared" si="0"/>
        <v>1.1448481831757094E-2</v>
      </c>
      <c r="K22" s="179">
        <v>5000</v>
      </c>
      <c r="L22" s="20">
        <f t="shared" si="0"/>
        <v>2.9103608847497091E-3</v>
      </c>
    </row>
    <row r="23" spans="4:14" x14ac:dyDescent="0.35">
      <c r="D23" s="4" t="s">
        <v>215</v>
      </c>
      <c r="E23" s="129">
        <f>SUM(E10:E22)</f>
        <v>18.499999999999996</v>
      </c>
      <c r="F23" s="129">
        <f>SUM(F10:F22)</f>
        <v>686</v>
      </c>
      <c r="H23" s="54" t="s">
        <v>412</v>
      </c>
      <c r="I23" s="5">
        <v>7200</v>
      </c>
      <c r="J23" s="8">
        <f t="shared" si="0"/>
        <v>0.3583872573419612</v>
      </c>
      <c r="K23" s="179">
        <v>640000</v>
      </c>
      <c r="L23" s="20">
        <f t="shared" si="0"/>
        <v>0.37252619324796277</v>
      </c>
    </row>
    <row r="24" spans="4:14" x14ac:dyDescent="0.35">
      <c r="H24" s="54" t="s">
        <v>413</v>
      </c>
      <c r="I24">
        <v>400</v>
      </c>
      <c r="J24" s="8">
        <f t="shared" si="0"/>
        <v>1.9910403185664508E-2</v>
      </c>
      <c r="K24" s="179">
        <v>140000</v>
      </c>
      <c r="L24" s="20">
        <f t="shared" si="0"/>
        <v>8.1490104772991845E-2</v>
      </c>
    </row>
    <row r="25" spans="4:14" x14ac:dyDescent="0.35">
      <c r="H25" s="54" t="s">
        <v>414</v>
      </c>
      <c r="I25">
        <v>150</v>
      </c>
      <c r="J25" s="8">
        <f t="shared" si="0"/>
        <v>7.466401194624191E-3</v>
      </c>
      <c r="K25" s="177" t="s">
        <v>406</v>
      </c>
      <c r="L25" s="20"/>
    </row>
    <row r="26" spans="4:14" x14ac:dyDescent="0.35">
      <c r="H26" s="54" t="s">
        <v>415</v>
      </c>
      <c r="I26">
        <v>150</v>
      </c>
      <c r="J26" s="8">
        <f t="shared" si="0"/>
        <v>7.466401194624191E-3</v>
      </c>
      <c r="K26" s="177" t="s">
        <v>416</v>
      </c>
      <c r="L26" s="20"/>
      <c r="M26" s="5"/>
    </row>
    <row r="27" spans="4:14" ht="15" thickBot="1" x14ac:dyDescent="0.4">
      <c r="D27" t="s">
        <v>393</v>
      </c>
      <c r="H27" s="64" t="s">
        <v>417</v>
      </c>
      <c r="I27" s="171">
        <f>SUM(I11:I26)</f>
        <v>20090</v>
      </c>
      <c r="J27" s="147">
        <f t="shared" si="0"/>
        <v>1</v>
      </c>
      <c r="K27" s="171">
        <f>SUM(K11:K26)</f>
        <v>1718000</v>
      </c>
      <c r="L27" s="181">
        <f t="shared" si="0"/>
        <v>1</v>
      </c>
    </row>
    <row r="28" spans="4:14" ht="15" thickTop="1" x14ac:dyDescent="0.35">
      <c r="D28" s="9" t="s">
        <v>392</v>
      </c>
      <c r="E28" s="9"/>
      <c r="H28" s="4" t="s">
        <v>463</v>
      </c>
    </row>
    <row r="29" spans="4:14" x14ac:dyDescent="0.35">
      <c r="D29" t="s">
        <v>395</v>
      </c>
    </row>
    <row r="30" spans="4:14" x14ac:dyDescent="0.35">
      <c r="D30" s="9" t="s">
        <v>394</v>
      </c>
      <c r="H30" s="4" t="s">
        <v>403</v>
      </c>
    </row>
    <row r="31" spans="4:14" x14ac:dyDescent="0.35">
      <c r="D31" t="s">
        <v>401</v>
      </c>
      <c r="H31" s="9" t="s">
        <v>404</v>
      </c>
    </row>
    <row r="32" spans="4:14" x14ac:dyDescent="0.35">
      <c r="D32" s="9" t="s">
        <v>394</v>
      </c>
    </row>
    <row r="33" spans="4:4" x14ac:dyDescent="0.35">
      <c r="D33" t="s">
        <v>402</v>
      </c>
    </row>
    <row r="34" spans="4:4" x14ac:dyDescent="0.35">
      <c r="D34" s="9" t="s">
        <v>400</v>
      </c>
    </row>
  </sheetData>
  <hyperlinks>
    <hyperlink ref="D28" r:id="rId1" xr:uid="{BB59B2BB-6ABA-4F44-89F8-B0F9FDF61599}"/>
    <hyperlink ref="D30" r:id="rId2" xr:uid="{C52B3654-50A8-4E35-89D2-5DBFDC6C2CE5}"/>
    <hyperlink ref="D32" r:id="rId3" xr:uid="{7257DDA6-D442-4FA8-A040-D858ADB2BDA4}"/>
    <hyperlink ref="D34" r:id="rId4" xr:uid="{6F34EEDF-C4A6-4AF6-BEF5-6A2823D7590C}"/>
    <hyperlink ref="H31" r:id="rId5" xr:uid="{A56BC07B-7491-4682-B3B0-8CD09B2171A8}"/>
    <hyperlink ref="N17" r:id="rId6" xr:uid="{3150DAA6-5D92-4245-84E4-08DBE89AE6A4}"/>
    <hyperlink ref="N20" r:id="rId7" xr:uid="{BB31D03D-7CA6-429B-97E1-14CA768F4F76}"/>
    <hyperlink ref="N18" r:id="rId8" xr:uid="{08FCDF9E-7740-4476-9DBE-CADC919FA54B}"/>
  </hyperlinks>
  <pageMargins left="0.7" right="0.7" top="0.75" bottom="0.75" header="0.3" footer="0.3"/>
  <pageSetup orientation="portrait" r:id="rId9"/>
  <ignoredErrors>
    <ignoredError sqref="J27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92EF7-C237-480B-AFB4-0B50B907C86A}">
  <dimension ref="A1:G48"/>
  <sheetViews>
    <sheetView topLeftCell="A7" workbookViewId="0">
      <selection activeCell="J58" sqref="J58"/>
    </sheetView>
  </sheetViews>
  <sheetFormatPr defaultRowHeight="14.5" x14ac:dyDescent="0.35"/>
  <cols>
    <col min="3" max="3" width="17.453125" customWidth="1"/>
    <col min="4" max="7" width="11.81640625" customWidth="1"/>
  </cols>
  <sheetData>
    <row r="1" spans="1:7" ht="28.5" x14ac:dyDescent="0.65">
      <c r="A1" s="2" t="str">
        <f>RawMaterialsBEV!A1</f>
        <v>Batteries - In debt cost and scalability analysis #22</v>
      </c>
    </row>
    <row r="3" spans="1:7" ht="15.5" x14ac:dyDescent="0.35">
      <c r="A3" s="1" t="str">
        <f>RawMaterialsBEV!A3</f>
        <v>Proprietary. © H. Mathiesen. This material can be used by others free of charge provided that the author H. Mathiesen is attributed and a clickable link is made visible to the location of used material on www.hmexperience.dk</v>
      </c>
    </row>
    <row r="4" spans="1:7" ht="15.5" x14ac:dyDescent="0.35">
      <c r="A4" s="1" t="str">
        <f>RawMaterialsBEV!A4</f>
        <v>Sources to all information used in this spreadsheet can also be found in associated PowerPoint presentation located also at www.hmexperience.dk</v>
      </c>
    </row>
    <row r="13" spans="1:7" ht="19" thickBot="1" x14ac:dyDescent="0.5">
      <c r="C13" s="118" t="s">
        <v>735</v>
      </c>
      <c r="D13" s="116"/>
      <c r="E13" s="116"/>
      <c r="F13" s="116"/>
      <c r="G13" s="116"/>
    </row>
    <row r="14" spans="1:7" ht="15" thickTop="1" x14ac:dyDescent="0.35">
      <c r="C14" s="121" t="s">
        <v>122</v>
      </c>
      <c r="D14" s="122" t="s">
        <v>95</v>
      </c>
      <c r="E14" s="122" t="s">
        <v>124</v>
      </c>
      <c r="F14" s="122" t="s">
        <v>125</v>
      </c>
      <c r="G14" s="123" t="s">
        <v>124</v>
      </c>
    </row>
    <row r="15" spans="1:7" x14ac:dyDescent="0.35">
      <c r="C15" s="124"/>
      <c r="D15" s="116"/>
      <c r="E15" s="116"/>
      <c r="F15" s="116"/>
      <c r="G15" s="125"/>
    </row>
    <row r="16" spans="1:7" x14ac:dyDescent="0.35">
      <c r="C16" s="54" t="s">
        <v>229</v>
      </c>
      <c r="D16" s="135">
        <v>850000</v>
      </c>
      <c r="E16" s="136">
        <f t="shared" ref="E16:E31" si="0">D16/D$35</f>
        <v>0.65894026900267455</v>
      </c>
      <c r="F16" s="135">
        <v>52000000</v>
      </c>
      <c r="G16" s="137">
        <f>F16/F$35</f>
        <v>0.15757575757575756</v>
      </c>
    </row>
    <row r="17" spans="3:7" x14ac:dyDescent="0.35">
      <c r="C17" s="54" t="s">
        <v>736</v>
      </c>
      <c r="D17" s="5">
        <v>170000</v>
      </c>
      <c r="E17" s="8">
        <f t="shared" si="0"/>
        <v>0.1317880538005349</v>
      </c>
      <c r="F17" s="5">
        <v>25000000</v>
      </c>
      <c r="G17" s="20">
        <f t="shared" ref="G17:G36" si="1">F17/F$35</f>
        <v>7.575757575757576E-2</v>
      </c>
    </row>
    <row r="18" spans="3:7" x14ac:dyDescent="0.35">
      <c r="C18" s="54" t="s">
        <v>737</v>
      </c>
      <c r="D18" s="5">
        <v>110000</v>
      </c>
      <c r="E18" s="8">
        <f t="shared" si="0"/>
        <v>8.5274623047404935E-2</v>
      </c>
      <c r="F18" s="5">
        <v>26000000</v>
      </c>
      <c r="G18" s="20">
        <f t="shared" si="1"/>
        <v>7.8787878787878782E-2</v>
      </c>
    </row>
    <row r="19" spans="3:7" x14ac:dyDescent="0.35">
      <c r="C19" s="54" t="s">
        <v>233</v>
      </c>
      <c r="D19" s="5">
        <v>87000</v>
      </c>
      <c r="E19" s="8">
        <f t="shared" si="0"/>
        <v>6.744447459203845E-2</v>
      </c>
      <c r="F19" s="5">
        <v>74000000</v>
      </c>
      <c r="G19" s="20">
        <f t="shared" si="1"/>
        <v>0.22424242424242424</v>
      </c>
    </row>
    <row r="20" spans="3:7" x14ac:dyDescent="0.35">
      <c r="C20" s="54" t="s">
        <v>196</v>
      </c>
      <c r="D20" s="135">
        <v>15000</v>
      </c>
      <c r="E20" s="136">
        <f t="shared" si="0"/>
        <v>1.1628357688282492E-2</v>
      </c>
      <c r="F20" s="135"/>
      <c r="G20" s="137">
        <f t="shared" si="1"/>
        <v>0</v>
      </c>
    </row>
    <row r="21" spans="3:7" x14ac:dyDescent="0.35">
      <c r="C21" s="54" t="s">
        <v>739</v>
      </c>
      <c r="D21" s="5">
        <v>15000</v>
      </c>
      <c r="E21" s="8">
        <f t="shared" si="0"/>
        <v>1.1628357688282492E-2</v>
      </c>
      <c r="F21" s="5"/>
      <c r="G21" s="20">
        <f t="shared" si="1"/>
        <v>0</v>
      </c>
    </row>
    <row r="22" spans="3:7" x14ac:dyDescent="0.35">
      <c r="C22" s="54" t="s">
        <v>740</v>
      </c>
      <c r="D22" s="5">
        <v>10000</v>
      </c>
      <c r="E22" s="8">
        <f t="shared" si="0"/>
        <v>7.7522384588549946E-3</v>
      </c>
      <c r="F22" s="5">
        <v>600000</v>
      </c>
      <c r="G22" s="20">
        <f t="shared" si="1"/>
        <v>1.8181818181818182E-3</v>
      </c>
    </row>
    <row r="23" spans="3:7" x14ac:dyDescent="0.35">
      <c r="C23" s="54" t="s">
        <v>387</v>
      </c>
      <c r="D23" s="5">
        <v>8300</v>
      </c>
      <c r="E23" s="8">
        <f t="shared" si="0"/>
        <v>6.4343579208496456E-3</v>
      </c>
      <c r="F23" s="5">
        <v>8000000</v>
      </c>
      <c r="G23" s="20">
        <f t="shared" si="1"/>
        <v>2.4242424242424242E-2</v>
      </c>
    </row>
    <row r="24" spans="3:7" x14ac:dyDescent="0.35">
      <c r="C24" s="54" t="s">
        <v>741</v>
      </c>
      <c r="D24" s="5">
        <v>8100</v>
      </c>
      <c r="E24" s="8">
        <f t="shared" si="0"/>
        <v>6.2793131516725451E-3</v>
      </c>
      <c r="F24" s="5">
        <v>18000000</v>
      </c>
      <c r="G24" s="20">
        <f t="shared" si="1"/>
        <v>5.4545454545454543E-2</v>
      </c>
    </row>
    <row r="25" spans="3:7" x14ac:dyDescent="0.35">
      <c r="C25" s="54" t="s">
        <v>742</v>
      </c>
      <c r="D25" s="5">
        <v>5000</v>
      </c>
      <c r="E25" s="8">
        <f t="shared" si="0"/>
        <v>3.8761192294274973E-3</v>
      </c>
      <c r="F25" s="5"/>
      <c r="G25" s="20">
        <f t="shared" si="1"/>
        <v>0</v>
      </c>
    </row>
    <row r="26" spans="3:7" x14ac:dyDescent="0.35">
      <c r="C26" s="54" t="s">
        <v>232</v>
      </c>
      <c r="D26" s="5">
        <v>3000</v>
      </c>
      <c r="E26" s="8">
        <f t="shared" si="0"/>
        <v>2.3256715376564984E-3</v>
      </c>
      <c r="F26" s="5"/>
      <c r="G26" s="20">
        <f t="shared" si="1"/>
        <v>0</v>
      </c>
    </row>
    <row r="27" spans="3:7" x14ac:dyDescent="0.35">
      <c r="C27" s="54" t="s">
        <v>743</v>
      </c>
      <c r="D27" s="5">
        <v>3000</v>
      </c>
      <c r="E27" s="8">
        <f t="shared" si="0"/>
        <v>2.3256715376564984E-3</v>
      </c>
      <c r="F27" s="5">
        <v>1500000</v>
      </c>
      <c r="G27" s="20">
        <f t="shared" si="1"/>
        <v>4.5454545454545452E-3</v>
      </c>
    </row>
    <row r="28" spans="3:7" x14ac:dyDescent="0.35">
      <c r="C28" s="54" t="s">
        <v>234</v>
      </c>
      <c r="D28" s="5">
        <v>2900</v>
      </c>
      <c r="E28" s="8">
        <f t="shared" si="0"/>
        <v>2.2481491530679486E-3</v>
      </c>
      <c r="F28" s="5">
        <v>90000000</v>
      </c>
      <c r="G28" s="20">
        <f t="shared" si="1"/>
        <v>0.27272727272727271</v>
      </c>
    </row>
    <row r="29" spans="3:7" x14ac:dyDescent="0.35">
      <c r="C29" s="54" t="s">
        <v>391</v>
      </c>
      <c r="D29" s="5">
        <v>1900</v>
      </c>
      <c r="E29" s="8">
        <f t="shared" si="0"/>
        <v>1.4729253071824489E-3</v>
      </c>
      <c r="F29" s="5">
        <v>3100000</v>
      </c>
      <c r="G29" s="20">
        <f t="shared" si="1"/>
        <v>9.3939393939393937E-3</v>
      </c>
    </row>
    <row r="30" spans="3:7" x14ac:dyDescent="0.35">
      <c r="C30" s="54" t="s">
        <v>744</v>
      </c>
      <c r="D30" s="5">
        <v>500</v>
      </c>
      <c r="E30" s="8">
        <f t="shared" si="0"/>
        <v>3.8761192294274973E-4</v>
      </c>
      <c r="F30" s="5"/>
      <c r="G30" s="20">
        <f t="shared" si="1"/>
        <v>0</v>
      </c>
    </row>
    <row r="31" spans="3:7" x14ac:dyDescent="0.35">
      <c r="C31" s="54" t="s">
        <v>745</v>
      </c>
      <c r="D31" s="5">
        <v>250</v>
      </c>
      <c r="E31" s="8">
        <f t="shared" si="0"/>
        <v>1.9380596147137487E-4</v>
      </c>
      <c r="F31" s="5"/>
      <c r="G31" s="20">
        <f t="shared" si="1"/>
        <v>0</v>
      </c>
    </row>
    <row r="32" spans="3:7" x14ac:dyDescent="0.35">
      <c r="C32" s="54" t="s">
        <v>750</v>
      </c>
      <c r="D32" s="5">
        <v>0</v>
      </c>
      <c r="E32" s="8">
        <f t="shared" ref="E32:E35" si="2">D32/D$35</f>
        <v>0</v>
      </c>
      <c r="F32" s="5">
        <v>7600000</v>
      </c>
      <c r="G32" s="20">
        <f t="shared" si="1"/>
        <v>2.3030303030303029E-2</v>
      </c>
    </row>
    <row r="33" spans="3:7" x14ac:dyDescent="0.35">
      <c r="C33" s="54" t="s">
        <v>751</v>
      </c>
      <c r="D33" s="135">
        <v>8700</v>
      </c>
      <c r="E33" s="136">
        <f t="shared" si="2"/>
        <v>6.7444474592038449E-3</v>
      </c>
      <c r="F33" s="135">
        <v>2000000</v>
      </c>
      <c r="G33" s="137">
        <f t="shared" si="1"/>
        <v>6.0606060606060606E-3</v>
      </c>
    </row>
    <row r="34" spans="3:7" x14ac:dyDescent="0.35">
      <c r="C34" s="54" t="s">
        <v>212</v>
      </c>
      <c r="D34" s="5">
        <v>0</v>
      </c>
      <c r="E34" s="8">
        <f t="shared" si="2"/>
        <v>0</v>
      </c>
      <c r="F34" s="5">
        <f>F35-SUM(F16:F33)</f>
        <v>22200000</v>
      </c>
      <c r="G34" s="20">
        <f t="shared" si="1"/>
        <v>6.7272727272727276E-2</v>
      </c>
    </row>
    <row r="35" spans="3:7" ht="15" thickBot="1" x14ac:dyDescent="0.4">
      <c r="C35" s="64" t="s">
        <v>120</v>
      </c>
      <c r="D35" s="126">
        <f>SUM(D16:D31)</f>
        <v>1289950</v>
      </c>
      <c r="E35" s="8">
        <f t="shared" si="2"/>
        <v>1</v>
      </c>
      <c r="F35" s="126">
        <v>330000000</v>
      </c>
      <c r="G35" s="20">
        <f t="shared" si="1"/>
        <v>1</v>
      </c>
    </row>
    <row r="36" spans="3:7" ht="15.5" thickTop="1" thickBot="1" x14ac:dyDescent="0.4">
      <c r="C36" s="64" t="s">
        <v>347</v>
      </c>
      <c r="D36" s="138">
        <f>SUM(D16,D20,D33)</f>
        <v>873700</v>
      </c>
      <c r="E36" s="252">
        <f>D36/D$35</f>
        <v>0.67731307415016084</v>
      </c>
      <c r="F36" s="138">
        <f>SUM(F16,F20,F33)</f>
        <v>54000000</v>
      </c>
      <c r="G36" s="251">
        <f t="shared" si="1"/>
        <v>0.16363636363636364</v>
      </c>
    </row>
    <row r="37" spans="3:7" ht="15" thickTop="1" x14ac:dyDescent="0.35">
      <c r="C37" s="53" t="s">
        <v>752</v>
      </c>
      <c r="D37" s="253">
        <f>D38-D35</f>
        <v>2210050</v>
      </c>
      <c r="E37" s="254"/>
      <c r="F37" s="253"/>
      <c r="G37" s="255"/>
    </row>
    <row r="38" spans="3:7" ht="15" thickBot="1" x14ac:dyDescent="0.4">
      <c r="C38" s="64" t="s">
        <v>753</v>
      </c>
      <c r="D38" s="171">
        <v>3500000</v>
      </c>
      <c r="E38" s="147"/>
      <c r="F38" s="171"/>
      <c r="G38" s="181"/>
    </row>
    <row r="39" spans="3:7" ht="15" thickTop="1" x14ac:dyDescent="0.35">
      <c r="C39" s="120" t="s">
        <v>471</v>
      </c>
    </row>
    <row r="42" spans="3:7" x14ac:dyDescent="0.35">
      <c r="C42" t="s">
        <v>756</v>
      </c>
      <c r="E42" s="9" t="s">
        <v>738</v>
      </c>
    </row>
    <row r="43" spans="3:7" x14ac:dyDescent="0.35">
      <c r="C43" t="s">
        <v>757</v>
      </c>
      <c r="E43" s="9" t="s">
        <v>28</v>
      </c>
    </row>
    <row r="44" spans="3:7" x14ac:dyDescent="0.35">
      <c r="C44" t="s">
        <v>748</v>
      </c>
      <c r="E44" s="9" t="s">
        <v>749</v>
      </c>
    </row>
    <row r="45" spans="3:7" x14ac:dyDescent="0.35">
      <c r="C45" t="s">
        <v>746</v>
      </c>
      <c r="E45" s="9" t="s">
        <v>747</v>
      </c>
    </row>
    <row r="46" spans="3:7" x14ac:dyDescent="0.35">
      <c r="C46" t="s">
        <v>754</v>
      </c>
      <c r="E46" s="9" t="s">
        <v>28</v>
      </c>
    </row>
    <row r="48" spans="3:7" x14ac:dyDescent="0.35">
      <c r="C48" t="s">
        <v>823</v>
      </c>
      <c r="G48" s="9" t="s">
        <v>816</v>
      </c>
    </row>
  </sheetData>
  <hyperlinks>
    <hyperlink ref="E42" r:id="rId1" xr:uid="{7F6AC037-5249-4E9F-844A-B633CA8C2D74}"/>
    <hyperlink ref="E45" r:id="rId2" xr:uid="{9D33C9AE-F894-4CB1-A9E7-D9ADA54A7205}"/>
    <hyperlink ref="E44" r:id="rId3" xr:uid="{0B1968B4-9BCC-4DAD-9120-50125C0C5789}"/>
    <hyperlink ref="E46" r:id="rId4" xr:uid="{08B38F95-0060-4AEE-9D33-9401A0902BFB}"/>
    <hyperlink ref="E43" r:id="rId5" xr:uid="{DC56F29A-A909-45A0-B979-C667709768B8}"/>
    <hyperlink ref="G48" r:id="rId6" xr:uid="{D62B37B1-0AD0-4CD2-8F8F-62F704CBEB04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0C6D9-8219-49A7-9C61-0CAF07702D49}">
  <dimension ref="A1:AB39"/>
  <sheetViews>
    <sheetView workbookViewId="0">
      <selection sqref="A1:A4"/>
    </sheetView>
  </sheetViews>
  <sheetFormatPr defaultRowHeight="14.5" x14ac:dyDescent="0.35"/>
  <cols>
    <col min="3" max="3" width="12.81640625" customWidth="1"/>
    <col min="4" max="4" width="7" customWidth="1"/>
    <col min="5" max="5" width="7.81640625" customWidth="1"/>
    <col min="6" max="6" width="6.90625" customWidth="1"/>
    <col min="7" max="7" width="7.54296875" customWidth="1"/>
    <col min="8" max="8" width="10.90625" customWidth="1"/>
    <col min="9" max="9" width="6.7265625" customWidth="1"/>
    <col min="10" max="10" width="9.08984375" customWidth="1"/>
    <col min="11" max="11" width="6.81640625" customWidth="1"/>
    <col min="12" max="12" width="7.54296875" customWidth="1"/>
    <col min="13" max="13" width="7" customWidth="1"/>
    <col min="14" max="14" width="6.81640625" customWidth="1"/>
    <col min="15" max="15" width="10.54296875" customWidth="1"/>
    <col min="16" max="16" width="7.08984375" customWidth="1"/>
    <col min="20" max="20" width="13.453125" customWidth="1"/>
    <col min="21" max="21" width="10.54296875" customWidth="1"/>
    <col min="22" max="22" width="11.90625" customWidth="1"/>
    <col min="23" max="23" width="9.54296875" customWidth="1"/>
    <col min="24" max="24" width="9.81640625" bestFit="1" customWidth="1"/>
    <col min="25" max="25" width="8.54296875" customWidth="1"/>
    <col min="26" max="26" width="11.36328125" customWidth="1"/>
    <col min="28" max="28" width="10.26953125" customWidth="1"/>
  </cols>
  <sheetData>
    <row r="1" spans="1:28" ht="28.5" x14ac:dyDescent="0.65">
      <c r="A1" s="2" t="str">
        <f>RawMaterialsBEV!A1</f>
        <v>Batteries - In debt cost and scalability analysis #22</v>
      </c>
    </row>
    <row r="2" spans="1:28" x14ac:dyDescent="0.35">
      <c r="AA2" t="s">
        <v>382</v>
      </c>
    </row>
    <row r="3" spans="1:28" ht="15.5" x14ac:dyDescent="0.35">
      <c r="A3" s="1" t="str">
        <f>RawMaterialsBEV!A3</f>
        <v>Proprietary. © H. Mathiesen. This material can be used by others free of charge provided that the author H. Mathiesen is attributed and a clickable link is made visible to the location of used material on www.hmexperience.dk</v>
      </c>
      <c r="Z3" s="153" t="s">
        <v>355</v>
      </c>
      <c r="AA3">
        <v>2</v>
      </c>
    </row>
    <row r="4" spans="1:28" ht="15.5" x14ac:dyDescent="0.35">
      <c r="A4" s="1" t="str">
        <f>RawMaterialsBEV!A4</f>
        <v>Sources to all information used in this spreadsheet can also be found in associated PowerPoint presentation located also at www.hmexperience.dk</v>
      </c>
      <c r="Z4" s="153" t="s">
        <v>357</v>
      </c>
      <c r="AA4">
        <v>0.2</v>
      </c>
    </row>
    <row r="5" spans="1:28" x14ac:dyDescent="0.35">
      <c r="Z5" s="153" t="s">
        <v>353</v>
      </c>
      <c r="AA5">
        <v>2</v>
      </c>
    </row>
    <row r="6" spans="1:28" x14ac:dyDescent="0.35">
      <c r="Z6" s="153" t="s">
        <v>356</v>
      </c>
      <c r="AA6">
        <v>2</v>
      </c>
    </row>
    <row r="7" spans="1:28" x14ac:dyDescent="0.35">
      <c r="Z7" s="153" t="s">
        <v>377</v>
      </c>
      <c r="AA7">
        <v>1</v>
      </c>
    </row>
    <row r="8" spans="1:28" x14ac:dyDescent="0.35">
      <c r="J8">
        <v>1000</v>
      </c>
      <c r="Y8" s="5">
        <f>RawMaterial!I28</f>
        <v>309120000</v>
      </c>
    </row>
    <row r="10" spans="1:28" ht="20" thickBot="1" x14ac:dyDescent="0.5">
      <c r="C10" s="150" t="s">
        <v>362</v>
      </c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T10" s="150" t="s">
        <v>475</v>
      </c>
      <c r="U10" s="116"/>
      <c r="V10" s="116"/>
      <c r="W10" s="116"/>
      <c r="X10" s="116"/>
      <c r="Y10" s="116"/>
      <c r="Z10" s="116"/>
      <c r="AA10" s="116"/>
      <c r="AB10" s="116"/>
    </row>
    <row r="11" spans="1:28" ht="15" thickTop="1" x14ac:dyDescent="0.35">
      <c r="C11" s="143" t="s">
        <v>369</v>
      </c>
      <c r="D11" s="42" t="s">
        <v>353</v>
      </c>
      <c r="E11" s="42" t="s">
        <v>354</v>
      </c>
      <c r="F11" s="42" t="s">
        <v>355</v>
      </c>
      <c r="G11" s="42" t="s">
        <v>356</v>
      </c>
      <c r="H11" s="42" t="s">
        <v>357</v>
      </c>
      <c r="I11" s="42" t="s">
        <v>376</v>
      </c>
      <c r="J11" s="42" t="s">
        <v>361</v>
      </c>
      <c r="K11" s="144" t="s">
        <v>353</v>
      </c>
      <c r="L11" s="144" t="s">
        <v>354</v>
      </c>
      <c r="M11" s="144" t="s">
        <v>355</v>
      </c>
      <c r="N11" s="144" t="s">
        <v>356</v>
      </c>
      <c r="O11" s="144" t="s">
        <v>357</v>
      </c>
      <c r="P11" s="145" t="s">
        <v>376</v>
      </c>
      <c r="T11" s="143" t="s">
        <v>370</v>
      </c>
      <c r="U11" s="42" t="s">
        <v>474</v>
      </c>
      <c r="V11" s="42" t="s">
        <v>372</v>
      </c>
      <c r="W11" s="42" t="s">
        <v>373</v>
      </c>
      <c r="X11" s="42" t="s">
        <v>462</v>
      </c>
      <c r="Y11" s="42" t="s">
        <v>378</v>
      </c>
      <c r="Z11" s="42" t="s">
        <v>380</v>
      </c>
      <c r="AA11" s="42" t="s">
        <v>381</v>
      </c>
      <c r="AB11" s="154" t="s">
        <v>383</v>
      </c>
    </row>
    <row r="12" spans="1:28" x14ac:dyDescent="0.35">
      <c r="C12" s="54" t="s">
        <v>358</v>
      </c>
      <c r="D12" s="32">
        <f>CostOfRawMaterialsBEV!D12</f>
        <v>24.446999999999999</v>
      </c>
      <c r="E12" s="32">
        <f>CostOfRawMaterialsBEV!D14</f>
        <v>171.36601300000001</v>
      </c>
      <c r="F12" s="32">
        <f>CostOfRawMaterialsBEV!D20</f>
        <v>34.93</v>
      </c>
      <c r="G12" s="32">
        <f>CostOfRawMaterialsBEV!D16</f>
        <v>8.2297600000000006</v>
      </c>
      <c r="H12" s="32">
        <f>CostOfRawMaterialsBEV!D17</f>
        <v>4.6190299999999995</v>
      </c>
      <c r="I12" s="32">
        <f>CostOfRawMaterialsBEV!D23</f>
        <v>0.52258994800000003</v>
      </c>
      <c r="J12" s="141" t="s">
        <v>15</v>
      </c>
      <c r="K12" s="151" t="s">
        <v>363</v>
      </c>
      <c r="L12" s="151" t="s">
        <v>363</v>
      </c>
      <c r="M12" s="151" t="s">
        <v>363</v>
      </c>
      <c r="N12" s="151" t="s">
        <v>363</v>
      </c>
      <c r="O12" s="151" t="s">
        <v>363</v>
      </c>
      <c r="P12" s="152" t="s">
        <v>363</v>
      </c>
      <c r="T12" s="155"/>
      <c r="U12" s="105" t="s">
        <v>473</v>
      </c>
      <c r="V12" s="105"/>
      <c r="W12" s="105" t="s">
        <v>374</v>
      </c>
      <c r="X12" s="105" t="s">
        <v>375</v>
      </c>
      <c r="Y12" s="105" t="s">
        <v>158</v>
      </c>
      <c r="Z12" s="105" t="s">
        <v>379</v>
      </c>
      <c r="AA12" s="105" t="s">
        <v>158</v>
      </c>
      <c r="AB12" s="156" t="s">
        <v>379</v>
      </c>
    </row>
    <row r="13" spans="1:28" x14ac:dyDescent="0.35">
      <c r="C13" s="54" t="s">
        <v>365</v>
      </c>
      <c r="D13" s="8">
        <v>0.2</v>
      </c>
      <c r="E13" s="8">
        <v>2.7E-2</v>
      </c>
      <c r="F13" s="8">
        <v>0.02</v>
      </c>
      <c r="G13" s="8">
        <f>RawMaterialsBEV!B48</f>
        <v>0.08</v>
      </c>
      <c r="H13" s="8">
        <f>RM_ByBatChem!Y29</f>
        <v>0</v>
      </c>
      <c r="I13" s="8">
        <v>0</v>
      </c>
      <c r="J13" s="5">
        <f>SUM(K13:P13)</f>
        <v>10873.263151000001</v>
      </c>
      <c r="K13" s="5">
        <f t="shared" ref="K13:P16" si="0">$J$8*D13*D$12</f>
        <v>4889.3999999999996</v>
      </c>
      <c r="L13" s="5">
        <f t="shared" si="0"/>
        <v>4626.8823510000002</v>
      </c>
      <c r="M13" s="5">
        <f t="shared" si="0"/>
        <v>698.6</v>
      </c>
      <c r="N13" s="5">
        <f t="shared" si="0"/>
        <v>658.38080000000002</v>
      </c>
      <c r="O13" s="5">
        <f t="shared" si="0"/>
        <v>0</v>
      </c>
      <c r="P13" s="83">
        <f t="shared" si="0"/>
        <v>0</v>
      </c>
      <c r="T13" s="157" t="s">
        <v>355</v>
      </c>
      <c r="U13" s="8">
        <f>F16</f>
        <v>2E-3</v>
      </c>
      <c r="V13" s="5">
        <f>F16*V$19</f>
        <v>618240</v>
      </c>
      <c r="W13" s="65">
        <f>RawMaterialsBEV!C18</f>
        <v>6.1824000000000003</v>
      </c>
      <c r="X13" s="32">
        <f>(V13*1000/W13)/1000000</f>
        <v>100</v>
      </c>
      <c r="Y13" s="32">
        <f>F12</f>
        <v>34.93</v>
      </c>
      <c r="Z13" s="32">
        <f>V13*1000*Y13/1000000000</f>
        <v>21.5951232</v>
      </c>
      <c r="AA13" s="74">
        <f>Y13*AA3</f>
        <v>69.86</v>
      </c>
      <c r="AB13" s="158">
        <f>V13*1000*AA13/1000000000</f>
        <v>43.190246399999999</v>
      </c>
    </row>
    <row r="14" spans="1:28" x14ac:dyDescent="0.35">
      <c r="C14" s="54" t="s">
        <v>364</v>
      </c>
      <c r="D14" s="8">
        <v>1.2E-2</v>
      </c>
      <c r="E14" s="8">
        <v>7.0000000000000001E-3</v>
      </c>
      <c r="F14" s="8">
        <v>2E-3</v>
      </c>
      <c r="G14" s="8">
        <v>6.0000000000000001E-3</v>
      </c>
      <c r="H14" s="8">
        <v>0.3</v>
      </c>
      <c r="I14" s="8">
        <v>0.5</v>
      </c>
      <c r="J14" s="146">
        <f t="shared" ref="J14:J16" si="1">SUM(K14:P14)</f>
        <v>3259.1686249999998</v>
      </c>
      <c r="K14" s="5">
        <f t="shared" si="0"/>
        <v>293.36399999999998</v>
      </c>
      <c r="L14" s="5">
        <f t="shared" si="0"/>
        <v>1199.562091</v>
      </c>
      <c r="M14" s="5">
        <f t="shared" si="0"/>
        <v>69.86</v>
      </c>
      <c r="N14" s="5">
        <f t="shared" si="0"/>
        <v>49.378560000000007</v>
      </c>
      <c r="O14" s="5">
        <f t="shared" si="0"/>
        <v>1385.7089999999998</v>
      </c>
      <c r="P14" s="83">
        <f t="shared" si="0"/>
        <v>261.29497400000002</v>
      </c>
      <c r="T14" s="157" t="s">
        <v>357</v>
      </c>
      <c r="U14" s="8">
        <f>H16</f>
        <v>0.27</v>
      </c>
      <c r="V14" s="5">
        <f>H16*V$19</f>
        <v>83462400</v>
      </c>
      <c r="W14" s="65">
        <f>RawMaterialsBEV!C15</f>
        <v>10</v>
      </c>
      <c r="X14" s="32">
        <f>(V14*1000/W14)/1000000</f>
        <v>8346.24</v>
      </c>
      <c r="Y14" s="32">
        <f>H12</f>
        <v>4.6190299999999995</v>
      </c>
      <c r="Z14" s="32">
        <f>V14*1000*Y14/1000000000</f>
        <v>385.51532947199996</v>
      </c>
      <c r="AA14" s="74">
        <f t="shared" ref="AA14:AA17" si="2">Y14*AA4</f>
        <v>0.92380599999999991</v>
      </c>
      <c r="AB14" s="158">
        <f>V14*1000*AA14/1000000000</f>
        <v>77.10306589439999</v>
      </c>
    </row>
    <row r="15" spans="1:28" x14ac:dyDescent="0.35">
      <c r="C15" s="54" t="s">
        <v>359</v>
      </c>
      <c r="D15" s="8">
        <v>4.0000000000000001E-3</v>
      </c>
      <c r="E15" s="8">
        <v>0</v>
      </c>
      <c r="F15" s="8">
        <v>6.7000000000000002E-3</v>
      </c>
      <c r="G15" s="8">
        <v>1E-3</v>
      </c>
      <c r="H15" s="8">
        <v>0.22</v>
      </c>
      <c r="I15" s="8">
        <v>0.17</v>
      </c>
      <c r="J15" s="5">
        <f t="shared" si="1"/>
        <v>1445.07565116</v>
      </c>
      <c r="K15" s="5">
        <f t="shared" si="0"/>
        <v>97.787999999999997</v>
      </c>
      <c r="L15" s="5">
        <f t="shared" si="0"/>
        <v>0</v>
      </c>
      <c r="M15" s="5">
        <f t="shared" si="0"/>
        <v>234.03100000000001</v>
      </c>
      <c r="N15" s="5">
        <f t="shared" si="0"/>
        <v>8.2297600000000006</v>
      </c>
      <c r="O15" s="5">
        <f t="shared" si="0"/>
        <v>1016.1865999999999</v>
      </c>
      <c r="P15" s="83">
        <f t="shared" si="0"/>
        <v>88.840291160000007</v>
      </c>
      <c r="T15" s="157" t="s">
        <v>353</v>
      </c>
      <c r="U15" s="8">
        <f>D16</f>
        <v>1.2999999999999999E-2</v>
      </c>
      <c r="V15" s="5">
        <f>V19*D16</f>
        <v>4018560</v>
      </c>
      <c r="W15" s="65">
        <f>RawMaterialsBEV!C11</f>
        <v>61.824000000000005</v>
      </c>
      <c r="X15" s="32">
        <f>(V15*1000/W15)/1000000</f>
        <v>64.999999999999986</v>
      </c>
      <c r="Y15" s="32">
        <f>D12</f>
        <v>24.446999999999999</v>
      </c>
      <c r="Z15" s="32">
        <f>V15*1000*Y15/1000000000</f>
        <v>98.241736320000001</v>
      </c>
      <c r="AA15" s="74">
        <f t="shared" si="2"/>
        <v>48.893999999999998</v>
      </c>
      <c r="AB15" s="158">
        <f>V15*1000*AA15/1000000000</f>
        <v>196.48347264</v>
      </c>
    </row>
    <row r="16" spans="1:28" ht="15" thickBot="1" x14ac:dyDescent="0.4">
      <c r="C16" s="64" t="s">
        <v>360</v>
      </c>
      <c r="D16" s="147">
        <v>1.2999999999999999E-2</v>
      </c>
      <c r="E16" s="147">
        <v>0</v>
      </c>
      <c r="F16" s="147">
        <v>2E-3</v>
      </c>
      <c r="G16" s="147">
        <v>1.0999999999999999E-2</v>
      </c>
      <c r="H16" s="147">
        <v>0.27</v>
      </c>
      <c r="I16" s="147">
        <v>0.06</v>
      </c>
      <c r="J16" s="148">
        <f t="shared" si="1"/>
        <v>1756.6918568799999</v>
      </c>
      <c r="K16" s="148">
        <f t="shared" si="0"/>
        <v>317.81099999999998</v>
      </c>
      <c r="L16" s="148">
        <f t="shared" si="0"/>
        <v>0</v>
      </c>
      <c r="M16" s="148">
        <f t="shared" si="0"/>
        <v>69.86</v>
      </c>
      <c r="N16" s="148">
        <f t="shared" si="0"/>
        <v>90.527360000000002</v>
      </c>
      <c r="O16" s="148">
        <f t="shared" si="0"/>
        <v>1247.1380999999999</v>
      </c>
      <c r="P16" s="149">
        <f t="shared" si="0"/>
        <v>31.355396880000001</v>
      </c>
      <c r="T16" s="157" t="s">
        <v>356</v>
      </c>
      <c r="U16" s="8">
        <f>G16</f>
        <v>1.0999999999999999E-2</v>
      </c>
      <c r="V16" s="5">
        <f>V19*G16</f>
        <v>3400320</v>
      </c>
      <c r="W16" s="65">
        <f>RawMaterialsBEV!C14</f>
        <v>91</v>
      </c>
      <c r="X16" s="32">
        <f>(V16*1000/W16)/1000000</f>
        <v>37.36615384615385</v>
      </c>
      <c r="Y16" s="32">
        <f>G12</f>
        <v>8.2297600000000006</v>
      </c>
      <c r="Z16" s="32">
        <f>V16*1000*Y16/1000000000</f>
        <v>27.983817523199999</v>
      </c>
      <c r="AA16" s="74">
        <f t="shared" si="2"/>
        <v>16.459520000000001</v>
      </c>
      <c r="AB16" s="158">
        <f>V16*1000*AA16/1000000000</f>
        <v>55.967635046399998</v>
      </c>
    </row>
    <row r="17" spans="3:28" ht="15" thickTop="1" x14ac:dyDescent="0.35">
      <c r="C17" s="119" t="s">
        <v>463</v>
      </c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T17" s="157" t="s">
        <v>377</v>
      </c>
      <c r="U17" s="8">
        <f>I16</f>
        <v>0.06</v>
      </c>
      <c r="V17" s="5">
        <f>V19*I16</f>
        <v>18547200</v>
      </c>
      <c r="W17" s="32">
        <f>CostOfRawMaterialsBEV!C23</f>
        <v>900</v>
      </c>
      <c r="X17" s="32">
        <f>(V17*1000/W17)/1000000</f>
        <v>20.608000000000001</v>
      </c>
      <c r="Y17" s="32">
        <f>I12</f>
        <v>0.52258994800000003</v>
      </c>
      <c r="Z17" s="32">
        <f>V17*1000*Y17/1000000000</f>
        <v>9.6925802835456008</v>
      </c>
      <c r="AA17" s="74">
        <f t="shared" si="2"/>
        <v>0.52258994800000003</v>
      </c>
      <c r="AB17" s="158">
        <f>V17*1000*AA17/1000000000</f>
        <v>9.6925802835456008</v>
      </c>
    </row>
    <row r="18" spans="3:28" x14ac:dyDescent="0.35">
      <c r="C18" t="s">
        <v>367</v>
      </c>
      <c r="T18" s="157" t="s">
        <v>371</v>
      </c>
      <c r="U18" s="8">
        <f>U19-SUM(U13:U17)</f>
        <v>0.64399999999999991</v>
      </c>
      <c r="V18" s="5">
        <f>V19-SUM(V13:V17)</f>
        <v>199073280</v>
      </c>
      <c r="W18" s="65" t="s">
        <v>15</v>
      </c>
      <c r="X18" t="s">
        <v>15</v>
      </c>
      <c r="Z18" s="32"/>
      <c r="AA18" s="87"/>
      <c r="AB18" s="159"/>
    </row>
    <row r="19" spans="3:28" ht="15" thickBot="1" x14ac:dyDescent="0.4">
      <c r="T19" s="157" t="s">
        <v>215</v>
      </c>
      <c r="U19" s="190">
        <v>1</v>
      </c>
      <c r="V19" s="162">
        <f>Y8</f>
        <v>309120000</v>
      </c>
      <c r="W19" s="65" t="s">
        <v>15</v>
      </c>
      <c r="X19" t="s">
        <v>15</v>
      </c>
      <c r="Z19" s="163">
        <f>SUM(Z13:Z17)</f>
        <v>543.02858679874544</v>
      </c>
      <c r="AA19" s="87"/>
      <c r="AB19" s="164">
        <f>SUM(AB13:AB17)</f>
        <v>382.43700026434561</v>
      </c>
    </row>
    <row r="20" spans="3:28" ht="15" thickBot="1" x14ac:dyDescent="0.4">
      <c r="T20" s="165" t="s">
        <v>384</v>
      </c>
      <c r="U20" s="166"/>
      <c r="V20" s="166"/>
      <c r="W20" s="166"/>
      <c r="X20" s="166"/>
      <c r="Y20" s="166"/>
      <c r="Z20" s="167">
        <f>Z19*1000000000/$V19</f>
        <v>1756.6918568799995</v>
      </c>
      <c r="AA20" s="168"/>
      <c r="AB20" s="169">
        <f>AB19*1000000000/$V19</f>
        <v>1237.1797368800001</v>
      </c>
    </row>
    <row r="21" spans="3:28" ht="15" thickTop="1" x14ac:dyDescent="0.35">
      <c r="T21" s="119" t="s">
        <v>463</v>
      </c>
      <c r="U21" s="116"/>
      <c r="V21" s="116"/>
      <c r="W21" s="116"/>
      <c r="X21" s="116"/>
      <c r="Y21" s="116"/>
      <c r="Z21" s="116"/>
      <c r="AA21" s="116"/>
      <c r="AB21" s="116"/>
    </row>
    <row r="22" spans="3:28" x14ac:dyDescent="0.35">
      <c r="C22" s="6" t="s">
        <v>13</v>
      </c>
      <c r="D22" s="7"/>
      <c r="E22" s="7"/>
    </row>
    <row r="24" spans="3:28" x14ac:dyDescent="0.35">
      <c r="C24" s="105" t="s">
        <v>86</v>
      </c>
      <c r="D24" s="105" t="s">
        <v>353</v>
      </c>
      <c r="E24" s="105" t="s">
        <v>354</v>
      </c>
      <c r="F24" s="105" t="s">
        <v>355</v>
      </c>
      <c r="G24" s="105" t="s">
        <v>356</v>
      </c>
      <c r="H24" s="105" t="s">
        <v>357</v>
      </c>
      <c r="I24" s="105"/>
      <c r="J24" s="105" t="s">
        <v>361</v>
      </c>
    </row>
    <row r="25" spans="3:28" x14ac:dyDescent="0.35">
      <c r="C25" s="76" t="s">
        <v>358</v>
      </c>
      <c r="D25" s="32" t="s">
        <v>366</v>
      </c>
      <c r="E25" s="32" t="s">
        <v>366</v>
      </c>
      <c r="F25" s="32" t="s">
        <v>366</v>
      </c>
      <c r="G25" s="32" t="s">
        <v>366</v>
      </c>
      <c r="H25" s="32" t="s">
        <v>366</v>
      </c>
      <c r="I25" s="32"/>
      <c r="J25" s="141"/>
    </row>
    <row r="26" spans="3:28" x14ac:dyDescent="0.35">
      <c r="C26" s="76" t="s">
        <v>365</v>
      </c>
      <c r="D26" s="142" t="s">
        <v>217</v>
      </c>
      <c r="E26" s="8" t="s">
        <v>259</v>
      </c>
      <c r="F26" s="8"/>
      <c r="G26" s="142" t="s">
        <v>58</v>
      </c>
      <c r="H26" s="8" t="s">
        <v>366</v>
      </c>
      <c r="I26" s="8"/>
      <c r="J26" s="5"/>
    </row>
    <row r="27" spans="3:28" x14ac:dyDescent="0.35">
      <c r="C27" s="76" t="s">
        <v>364</v>
      </c>
      <c r="D27" s="142" t="s">
        <v>217</v>
      </c>
      <c r="E27" s="8" t="s">
        <v>259</v>
      </c>
      <c r="F27" s="8"/>
      <c r="G27" s="9" t="s">
        <v>137</v>
      </c>
      <c r="H27" s="142" t="s">
        <v>144</v>
      </c>
      <c r="I27" s="142"/>
      <c r="J27" s="5" t="s">
        <v>15</v>
      </c>
    </row>
    <row r="28" spans="3:28" x14ac:dyDescent="0.35">
      <c r="C28" s="76" t="s">
        <v>359</v>
      </c>
      <c r="D28" s="142" t="s">
        <v>368</v>
      </c>
      <c r="E28" s="142" t="s">
        <v>368</v>
      </c>
      <c r="F28" s="142" t="s">
        <v>368</v>
      </c>
      <c r="G28" s="142" t="s">
        <v>368</v>
      </c>
      <c r="H28" s="142" t="s">
        <v>368</v>
      </c>
      <c r="I28" s="142"/>
      <c r="J28" s="5"/>
      <c r="K28" t="s">
        <v>15</v>
      </c>
    </row>
    <row r="29" spans="3:28" x14ac:dyDescent="0.35">
      <c r="C29" s="76" t="s">
        <v>360</v>
      </c>
      <c r="D29" s="142" t="s">
        <v>368</v>
      </c>
      <c r="E29" s="142" t="s">
        <v>368</v>
      </c>
      <c r="F29" s="142" t="s">
        <v>368</v>
      </c>
      <c r="G29" s="142" t="s">
        <v>368</v>
      </c>
      <c r="H29" s="142" t="s">
        <v>368</v>
      </c>
      <c r="I29" s="142"/>
      <c r="J29" s="5"/>
      <c r="K29" t="s">
        <v>15</v>
      </c>
    </row>
    <row r="32" spans="3:28" ht="15.5" customHeight="1" x14ac:dyDescent="0.45">
      <c r="C32" s="160"/>
    </row>
    <row r="33" spans="3:16" x14ac:dyDescent="0.3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3:16" x14ac:dyDescent="0.35">
      <c r="C34" s="4"/>
      <c r="D34" s="32"/>
      <c r="E34" s="32"/>
      <c r="F34" s="32"/>
      <c r="G34" s="32"/>
      <c r="H34" s="32"/>
      <c r="I34" s="32"/>
      <c r="J34" s="141"/>
      <c r="K34" s="161"/>
      <c r="L34" s="161"/>
      <c r="M34" s="161"/>
      <c r="N34" s="161"/>
      <c r="O34" s="161"/>
      <c r="P34" s="161"/>
    </row>
    <row r="35" spans="3:16" x14ac:dyDescent="0.35">
      <c r="C35" s="4"/>
      <c r="D35" s="8"/>
      <c r="E35" s="8"/>
      <c r="F35" s="8"/>
      <c r="G35" s="8"/>
      <c r="H35" s="8"/>
      <c r="I35" s="8"/>
      <c r="J35" s="5"/>
      <c r="K35" s="5"/>
      <c r="L35" s="5"/>
      <c r="M35" s="5"/>
      <c r="N35" s="5"/>
      <c r="O35" s="5"/>
      <c r="P35" s="5"/>
    </row>
    <row r="36" spans="3:16" x14ac:dyDescent="0.35">
      <c r="C36" s="4"/>
      <c r="D36" s="8"/>
      <c r="E36" s="8"/>
      <c r="F36" s="8"/>
      <c r="G36" s="8"/>
      <c r="H36" s="8"/>
      <c r="I36" s="8"/>
      <c r="J36" s="146"/>
      <c r="K36" s="5"/>
      <c r="L36" s="5"/>
      <c r="M36" s="5"/>
      <c r="N36" s="5"/>
      <c r="O36" s="5"/>
      <c r="P36" s="5"/>
    </row>
    <row r="37" spans="3:16" x14ac:dyDescent="0.35">
      <c r="C37" s="4"/>
      <c r="D37" s="8"/>
      <c r="E37" s="8"/>
      <c r="F37" s="8"/>
      <c r="G37" s="8"/>
      <c r="H37" s="8"/>
      <c r="I37" s="8"/>
      <c r="J37" s="5"/>
      <c r="K37" s="5"/>
      <c r="L37" s="5"/>
      <c r="M37" s="5"/>
      <c r="N37" s="5"/>
      <c r="O37" s="5"/>
      <c r="P37" s="5"/>
    </row>
    <row r="38" spans="3:16" x14ac:dyDescent="0.35">
      <c r="C38" s="4"/>
      <c r="D38" s="8"/>
      <c r="E38" s="8"/>
      <c r="F38" s="8"/>
      <c r="G38" s="8"/>
      <c r="H38" s="8"/>
      <c r="I38" s="8"/>
      <c r="J38" s="5"/>
      <c r="K38" s="5"/>
      <c r="L38" s="5"/>
      <c r="M38" s="5"/>
      <c r="N38" s="5"/>
      <c r="O38" s="5"/>
      <c r="P38" s="5"/>
    </row>
    <row r="39" spans="3:16" x14ac:dyDescent="0.35">
      <c r="C39" s="4"/>
    </row>
  </sheetData>
  <hyperlinks>
    <hyperlink ref="H27" r:id="rId1" xr:uid="{FD8DFDBD-09CD-4008-9A48-5764B9AD97C5}"/>
    <hyperlink ref="D26" r:id="rId2" xr:uid="{FF42C6A1-FFA1-4C82-8E66-DE99FE50E647}"/>
    <hyperlink ref="G26" r:id="rId3" location=":~:text=Average%20ICEs%20contain%2018%2D49%20pounds%20of%20copper" xr:uid="{218AD2DA-C863-4636-A354-7E067740DD4C}"/>
    <hyperlink ref="D27" r:id="rId4" xr:uid="{7DB3BF1B-D479-48DF-8D26-3BF0875E0F1A}"/>
    <hyperlink ref="G27" r:id="rId5" location="Concentration_(beneficiation)" xr:uid="{F215B07B-17FD-49EA-9E31-24186610E6F1}"/>
    <hyperlink ref="D28" r:id="rId6" xr:uid="{87AF6313-A720-4547-A6EE-8D49BDF88633}"/>
    <hyperlink ref="E28:H28" r:id="rId7" display="https://worldoceanreview.com/en/wor-3/mineral-resources/cobalt-crusts/?ssp=1&amp;darkschemeovr=1&amp;setlang=en-XL&amp;safesearch=moderate" xr:uid="{C3851395-CDDA-4B33-B761-48CBBA168F39}"/>
    <hyperlink ref="D29" r:id="rId8" xr:uid="{FD777EF0-6F80-4B53-93DF-1F142E95E664}"/>
    <hyperlink ref="E29:H29" r:id="rId9" display="https://worldoceanreview.com/en/wor-3/mineral-resources/cobalt-crusts/?ssp=1&amp;darkschemeovr=1&amp;setlang=en-XL&amp;safesearch=moderate" xr:uid="{515840AC-E9B8-46ED-99B2-DD2C1CDF05A8}"/>
  </hyperlinks>
  <pageMargins left="0.7" right="0.7" top="0.75" bottom="0.75" header="0.3" footer="0.3"/>
  <pageSetup orientation="portrait" verticalDpi="0" r:id="rId1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E9F10-9D50-4CF9-8DD8-67D7267A1560}">
  <dimension ref="A1:BJ110"/>
  <sheetViews>
    <sheetView topLeftCell="P6" workbookViewId="0">
      <selection activeCell="Y33" sqref="Y33"/>
    </sheetView>
  </sheetViews>
  <sheetFormatPr defaultRowHeight="14.5" x14ac:dyDescent="0.35"/>
  <cols>
    <col min="2" max="2" width="8.7265625" customWidth="1"/>
    <col min="3" max="3" width="20.7265625" customWidth="1"/>
    <col min="4" max="4" width="17.26953125" customWidth="1"/>
    <col min="5" max="5" width="10" customWidth="1"/>
    <col min="6" max="6" width="18.1796875" customWidth="1"/>
    <col min="7" max="7" width="11" customWidth="1"/>
    <col min="8" max="8" width="16.1796875" customWidth="1"/>
    <col min="9" max="9" width="19.26953125" customWidth="1"/>
    <col min="10" max="10" width="10" customWidth="1"/>
    <col min="11" max="11" width="11.08984375" customWidth="1"/>
    <col min="12" max="12" width="9.81640625" customWidth="1"/>
    <col min="14" max="14" width="8.90625" customWidth="1"/>
    <col min="15" max="15" width="10" customWidth="1"/>
    <col min="16" max="16" width="13" customWidth="1"/>
    <col min="17" max="17" width="10" customWidth="1"/>
    <col min="18" max="18" width="15.453125" customWidth="1"/>
    <col min="20" max="20" width="23.26953125" customWidth="1"/>
    <col min="21" max="21" width="12" customWidth="1"/>
    <col min="22" max="22" width="10.1796875" customWidth="1"/>
    <col min="23" max="23" width="9.7265625" customWidth="1"/>
    <col min="24" max="25" width="13.90625" customWidth="1"/>
    <col min="26" max="26" width="13.1796875" customWidth="1"/>
    <col min="27" max="27" width="13.90625" customWidth="1"/>
    <col min="28" max="28" width="13.26953125" customWidth="1"/>
    <col min="29" max="29" width="13.36328125" customWidth="1"/>
    <col min="31" max="31" width="23.81640625" customWidth="1"/>
    <col min="32" max="32" width="11.90625" customWidth="1"/>
    <col min="33" max="34" width="10.26953125" customWidth="1"/>
    <col min="35" max="36" width="13.81640625" customWidth="1"/>
    <col min="37" max="37" width="11.36328125" customWidth="1"/>
    <col min="38" max="38" width="13.81640625" customWidth="1"/>
    <col min="39" max="39" width="12.6328125" customWidth="1"/>
    <col min="40" max="40" width="11.54296875" customWidth="1"/>
    <col min="42" max="42" width="12" customWidth="1"/>
    <col min="43" max="43" width="10.81640625" customWidth="1"/>
    <col min="44" max="44" width="10.90625" customWidth="1"/>
    <col min="45" max="45" width="10.81640625" customWidth="1"/>
    <col min="47" max="47" width="9.81640625" customWidth="1"/>
    <col min="48" max="48" width="6.26953125" customWidth="1"/>
    <col min="49" max="49" width="17.1796875" customWidth="1"/>
    <col min="50" max="50" width="7.08984375" customWidth="1"/>
    <col min="51" max="51" width="11.453125" customWidth="1"/>
    <col min="52" max="52" width="7.453125" customWidth="1"/>
    <col min="53" max="53" width="13.90625" customWidth="1"/>
    <col min="54" max="54" width="11.6328125" customWidth="1"/>
    <col min="55" max="56" width="13.7265625" customWidth="1"/>
    <col min="57" max="57" width="14.1796875" customWidth="1"/>
    <col min="58" max="58" width="15.1796875" customWidth="1"/>
    <col min="59" max="59" width="11.6328125" customWidth="1"/>
    <col min="60" max="60" width="13.7265625" customWidth="1"/>
    <col min="61" max="61" width="16.6328125" customWidth="1"/>
  </cols>
  <sheetData>
    <row r="1" spans="1:62" ht="28.5" x14ac:dyDescent="0.65">
      <c r="A1" s="2" t="str">
        <f>RawMaterialsBEV!A1</f>
        <v>Batteries - In debt cost and scalability analysis #22</v>
      </c>
      <c r="AV1" s="4" t="s">
        <v>163</v>
      </c>
      <c r="BD1" t="s">
        <v>378</v>
      </c>
      <c r="BE1" t="s">
        <v>824</v>
      </c>
      <c r="BF1" t="s">
        <v>824</v>
      </c>
    </row>
    <row r="2" spans="1:62" x14ac:dyDescent="0.35">
      <c r="AV2" t="s">
        <v>890</v>
      </c>
      <c r="AW2" s="5">
        <v>1000000000</v>
      </c>
      <c r="BA2">
        <v>83.15</v>
      </c>
      <c r="BB2" t="s">
        <v>314</v>
      </c>
      <c r="BD2" t="s">
        <v>707</v>
      </c>
      <c r="BE2" t="s">
        <v>841</v>
      </c>
      <c r="BF2" t="s">
        <v>906</v>
      </c>
    </row>
    <row r="3" spans="1:62" ht="15.5" x14ac:dyDescent="0.35">
      <c r="A3" s="1" t="str">
        <f>RawMaterialsBEV!A3</f>
        <v>Proprietary. © H. Mathiesen. This material can be used by others free of charge provided that the author H. Mathiesen is attributed and a clickable link is made visible to the location of used material on www.hmexperience.dk</v>
      </c>
      <c r="AV3" t="s">
        <v>894</v>
      </c>
      <c r="AW3" s="5">
        <v>1000000</v>
      </c>
      <c r="BC3" t="s">
        <v>899</v>
      </c>
      <c r="BD3" s="65">
        <v>1</v>
      </c>
      <c r="BE3" s="65">
        <v>0.4</v>
      </c>
      <c r="BF3" s="65">
        <v>0.15</v>
      </c>
    </row>
    <row r="4" spans="1:62" ht="15.5" x14ac:dyDescent="0.35">
      <c r="A4" s="1" t="str">
        <f>RawMaterialsBEV!A4</f>
        <v>Sources to all information used in this spreadsheet can also be found in associated PowerPoint presentation located also at www.hmexperience.dk</v>
      </c>
      <c r="AV4" t="s">
        <v>889</v>
      </c>
      <c r="BA4" s="349">
        <f>AL43</f>
        <v>33.576761904761902</v>
      </c>
      <c r="BB4" t="s">
        <v>264</v>
      </c>
    </row>
    <row r="5" spans="1:62" x14ac:dyDescent="0.35">
      <c r="K5" s="4" t="s">
        <v>649</v>
      </c>
      <c r="L5" s="4"/>
      <c r="N5" t="s">
        <v>86</v>
      </c>
      <c r="O5" s="9" t="s">
        <v>150</v>
      </c>
      <c r="AV5" t="s">
        <v>891</v>
      </c>
      <c r="BA5" s="349">
        <f>BA4/BA2</f>
        <v>0.40380952380952373</v>
      </c>
      <c r="BB5" t="s">
        <v>264</v>
      </c>
    </row>
    <row r="6" spans="1:62" x14ac:dyDescent="0.35">
      <c r="C6" s="4" t="s">
        <v>163</v>
      </c>
      <c r="K6" t="s">
        <v>543</v>
      </c>
      <c r="P6" s="65">
        <v>50</v>
      </c>
      <c r="Q6" t="s">
        <v>90</v>
      </c>
      <c r="AV6" t="s">
        <v>892</v>
      </c>
      <c r="BA6" s="350">
        <f>BA5*AW2</f>
        <v>403809523.8095237</v>
      </c>
      <c r="BB6" t="s">
        <v>264</v>
      </c>
    </row>
    <row r="7" spans="1:62" x14ac:dyDescent="0.35">
      <c r="A7" t="s">
        <v>519</v>
      </c>
      <c r="C7" t="s">
        <v>623</v>
      </c>
      <c r="H7" s="5">
        <v>1000</v>
      </c>
      <c r="K7" t="s">
        <v>650</v>
      </c>
      <c r="P7" s="65">
        <v>70</v>
      </c>
      <c r="Q7" t="s">
        <v>90</v>
      </c>
      <c r="AV7" t="s">
        <v>892</v>
      </c>
      <c r="BA7" s="5">
        <f>BA6/1000</f>
        <v>403809.52380952373</v>
      </c>
      <c r="BB7" t="s">
        <v>268</v>
      </c>
    </row>
    <row r="8" spans="1:62" x14ac:dyDescent="0.35">
      <c r="A8" s="9" t="s">
        <v>368</v>
      </c>
      <c r="C8">
        <f>RawMaterialsBEV!I34</f>
        <v>5.3</v>
      </c>
      <c r="H8" s="5">
        <v>1000000</v>
      </c>
      <c r="K8" t="s">
        <v>538</v>
      </c>
      <c r="P8" s="65">
        <f>SUM(P6:P7)</f>
        <v>120</v>
      </c>
      <c r="Q8" t="s">
        <v>90</v>
      </c>
      <c r="AV8" t="s">
        <v>893</v>
      </c>
      <c r="BA8" s="5">
        <f>K30*AW3</f>
        <v>689000</v>
      </c>
      <c r="BB8" t="s">
        <v>268</v>
      </c>
    </row>
    <row r="9" spans="1:62" x14ac:dyDescent="0.35">
      <c r="A9" t="s">
        <v>624</v>
      </c>
      <c r="K9" t="s">
        <v>539</v>
      </c>
      <c r="P9" s="65">
        <f>P8/1000</f>
        <v>0.12</v>
      </c>
      <c r="Q9" t="s">
        <v>90</v>
      </c>
      <c r="AV9" t="s">
        <v>910</v>
      </c>
      <c r="BA9" s="5">
        <f>H30*AW3</f>
        <v>131731500.00000001</v>
      </c>
      <c r="BB9" t="s">
        <v>268</v>
      </c>
    </row>
    <row r="10" spans="1:62" x14ac:dyDescent="0.35">
      <c r="A10" s="9" t="s">
        <v>520</v>
      </c>
      <c r="K10" t="s">
        <v>544</v>
      </c>
      <c r="P10" s="65">
        <f>P6/H7</f>
        <v>0.05</v>
      </c>
      <c r="Q10" t="s">
        <v>90</v>
      </c>
    </row>
    <row r="11" spans="1:62" ht="24" thickBot="1" x14ac:dyDescent="0.6">
      <c r="C11" s="192" t="s">
        <v>536</v>
      </c>
      <c r="T11" s="114" t="s">
        <v>842</v>
      </c>
      <c r="U11" s="116"/>
      <c r="V11" s="116"/>
      <c r="W11" s="116"/>
      <c r="X11" s="116"/>
      <c r="Y11" s="116"/>
      <c r="Z11" s="116"/>
      <c r="AA11" s="116"/>
      <c r="AB11" s="116"/>
      <c r="AC11" s="116"/>
      <c r="AE11" s="114" t="s">
        <v>843</v>
      </c>
      <c r="AF11" s="116"/>
      <c r="AG11" s="116"/>
      <c r="AH11" s="116"/>
      <c r="AI11" s="116"/>
      <c r="AJ11" s="116"/>
      <c r="AK11" s="116"/>
      <c r="AL11" s="116"/>
      <c r="AM11" s="116"/>
      <c r="AN11" s="116"/>
      <c r="AP11" s="114" t="s">
        <v>850</v>
      </c>
      <c r="AQ11" s="116"/>
      <c r="AR11" s="116"/>
      <c r="AV11" s="114" t="s">
        <v>917</v>
      </c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</row>
    <row r="12" spans="1:62" ht="15" thickTop="1" x14ac:dyDescent="0.35">
      <c r="C12" s="194" t="s">
        <v>477</v>
      </c>
      <c r="D12" s="43" t="s">
        <v>478</v>
      </c>
      <c r="E12" s="43" t="s">
        <v>512</v>
      </c>
      <c r="F12" s="43" t="s">
        <v>481</v>
      </c>
      <c r="G12" s="43" t="s">
        <v>512</v>
      </c>
      <c r="H12" s="43" t="s">
        <v>479</v>
      </c>
      <c r="I12" s="43" t="s">
        <v>480</v>
      </c>
      <c r="J12" s="43" t="s">
        <v>528</v>
      </c>
      <c r="K12" s="43" t="s">
        <v>521</v>
      </c>
      <c r="L12" s="43" t="s">
        <v>528</v>
      </c>
      <c r="M12" s="43" t="s">
        <v>524</v>
      </c>
      <c r="N12" s="43" t="s">
        <v>157</v>
      </c>
      <c r="O12" s="43" t="s">
        <v>157</v>
      </c>
      <c r="P12" s="43" t="s">
        <v>540</v>
      </c>
      <c r="Q12" s="44" t="s">
        <v>122</v>
      </c>
      <c r="T12" s="53" t="s">
        <v>702</v>
      </c>
      <c r="U12" s="276" t="s">
        <v>788</v>
      </c>
      <c r="V12" s="276" t="s">
        <v>157</v>
      </c>
      <c r="W12" s="276" t="s">
        <v>797</v>
      </c>
      <c r="X12" s="43" t="s">
        <v>776</v>
      </c>
      <c r="Y12" s="43" t="s">
        <v>777</v>
      </c>
      <c r="Z12" s="43" t="s">
        <v>778</v>
      </c>
      <c r="AA12" s="43" t="s">
        <v>779</v>
      </c>
      <c r="AB12" s="43" t="s">
        <v>780</v>
      </c>
      <c r="AC12" s="44" t="s">
        <v>787</v>
      </c>
      <c r="AE12" s="53" t="s">
        <v>702</v>
      </c>
      <c r="AF12" s="276" t="s">
        <v>808</v>
      </c>
      <c r="AG12" s="276" t="s">
        <v>157</v>
      </c>
      <c r="AH12" s="276" t="s">
        <v>797</v>
      </c>
      <c r="AI12" s="43" t="s">
        <v>776</v>
      </c>
      <c r="AJ12" s="43" t="s">
        <v>777</v>
      </c>
      <c r="AK12" s="43" t="s">
        <v>778</v>
      </c>
      <c r="AL12" s="43" t="s">
        <v>779</v>
      </c>
      <c r="AM12" s="43" t="s">
        <v>780</v>
      </c>
      <c r="AN12" s="44" t="s">
        <v>787</v>
      </c>
      <c r="AP12" s="323" t="s">
        <v>851</v>
      </c>
      <c r="AQ12" s="325" t="s">
        <v>853</v>
      </c>
      <c r="AR12" s="44" t="s">
        <v>797</v>
      </c>
      <c r="AV12" s="194" t="s">
        <v>91</v>
      </c>
      <c r="AW12" s="43" t="s">
        <v>887</v>
      </c>
      <c r="AX12" s="43" t="s">
        <v>900</v>
      </c>
      <c r="AY12" s="43" t="s">
        <v>904</v>
      </c>
      <c r="AZ12" s="43" t="s">
        <v>902</v>
      </c>
      <c r="BA12" s="43" t="s">
        <v>882</v>
      </c>
      <c r="BB12" s="43" t="s">
        <v>884</v>
      </c>
      <c r="BC12" s="43" t="s">
        <v>896</v>
      </c>
      <c r="BD12" s="43" t="s">
        <v>899</v>
      </c>
      <c r="BE12" s="43" t="s">
        <v>901</v>
      </c>
      <c r="BF12" s="43" t="s">
        <v>908</v>
      </c>
      <c r="BG12" s="43" t="s">
        <v>358</v>
      </c>
      <c r="BH12" s="44" t="s">
        <v>897</v>
      </c>
    </row>
    <row r="13" spans="1:62" x14ac:dyDescent="0.35">
      <c r="C13" s="195" t="s">
        <v>509</v>
      </c>
      <c r="D13" s="131" t="s">
        <v>482</v>
      </c>
      <c r="E13" s="131" t="s">
        <v>515</v>
      </c>
      <c r="F13" s="131" t="s">
        <v>485</v>
      </c>
      <c r="G13" s="131" t="s">
        <v>357</v>
      </c>
      <c r="H13" s="131" t="s">
        <v>483</v>
      </c>
      <c r="I13" s="131" t="s">
        <v>484</v>
      </c>
      <c r="J13" s="131" t="s">
        <v>529</v>
      </c>
      <c r="K13" s="131" t="s">
        <v>522</v>
      </c>
      <c r="L13" s="131" t="s">
        <v>529</v>
      </c>
      <c r="M13" s="131" t="s">
        <v>525</v>
      </c>
      <c r="N13" s="131" t="s">
        <v>158</v>
      </c>
      <c r="O13" s="131" t="s">
        <v>556</v>
      </c>
      <c r="P13" s="131" t="s">
        <v>550</v>
      </c>
      <c r="Q13" s="196" t="s">
        <v>559</v>
      </c>
      <c r="T13" s="54" t="s">
        <v>790</v>
      </c>
      <c r="U13" s="277" t="s">
        <v>789</v>
      </c>
      <c r="V13" s="277" t="s">
        <v>158</v>
      </c>
      <c r="W13" s="277" t="s">
        <v>810</v>
      </c>
      <c r="X13" s="131" t="s">
        <v>279</v>
      </c>
      <c r="Y13" s="131" t="s">
        <v>283</v>
      </c>
      <c r="Z13" s="131" t="s">
        <v>275</v>
      </c>
      <c r="AA13" s="131" t="s">
        <v>684</v>
      </c>
      <c r="AB13" s="131" t="s">
        <v>704</v>
      </c>
      <c r="AC13" s="196" t="s">
        <v>425</v>
      </c>
      <c r="AE13" s="54" t="s">
        <v>790</v>
      </c>
      <c r="AF13" s="277" t="s">
        <v>809</v>
      </c>
      <c r="AG13" s="277" t="s">
        <v>158</v>
      </c>
      <c r="AH13" s="277" t="s">
        <v>810</v>
      </c>
      <c r="AI13" s="131" t="s">
        <v>279</v>
      </c>
      <c r="AJ13" s="131" t="s">
        <v>283</v>
      </c>
      <c r="AK13" s="131" t="s">
        <v>275</v>
      </c>
      <c r="AL13" s="131" t="s">
        <v>684</v>
      </c>
      <c r="AM13" s="131" t="s">
        <v>704</v>
      </c>
      <c r="AN13" s="196" t="s">
        <v>425</v>
      </c>
      <c r="AP13" s="324" t="s">
        <v>852</v>
      </c>
      <c r="AQ13" s="327" t="s">
        <v>807</v>
      </c>
      <c r="AR13" s="196" t="s">
        <v>779</v>
      </c>
      <c r="AV13" s="195"/>
      <c r="AW13" s="131" t="s">
        <v>885</v>
      </c>
      <c r="AX13" s="131" t="s">
        <v>881</v>
      </c>
      <c r="AY13" s="131" t="s">
        <v>915</v>
      </c>
      <c r="AZ13" s="131" t="s">
        <v>903</v>
      </c>
      <c r="BA13" s="131" t="s">
        <v>914</v>
      </c>
      <c r="BB13" s="131" t="s">
        <v>379</v>
      </c>
      <c r="BC13" s="131" t="s">
        <v>895</v>
      </c>
      <c r="BD13" s="131" t="s">
        <v>905</v>
      </c>
      <c r="BE13" s="131" t="s">
        <v>886</v>
      </c>
      <c r="BF13" s="131" t="s">
        <v>909</v>
      </c>
      <c r="BG13" s="131" t="s">
        <v>898</v>
      </c>
      <c r="BH13" s="196" t="s">
        <v>907</v>
      </c>
      <c r="BJ13" s="4"/>
    </row>
    <row r="14" spans="1:62" x14ac:dyDescent="0.35">
      <c r="C14" s="195" t="s">
        <v>510</v>
      </c>
      <c r="D14" s="131" t="s">
        <v>486</v>
      </c>
      <c r="E14" s="131" t="s">
        <v>518</v>
      </c>
      <c r="F14" s="131" t="s">
        <v>489</v>
      </c>
      <c r="G14" s="131" t="s">
        <v>516</v>
      </c>
      <c r="H14" s="131" t="s">
        <v>487</v>
      </c>
      <c r="I14" s="131" t="s">
        <v>488</v>
      </c>
      <c r="J14" s="131" t="s">
        <v>533</v>
      </c>
      <c r="K14" s="131" t="s">
        <v>523</v>
      </c>
      <c r="L14" s="131" t="s">
        <v>523</v>
      </c>
      <c r="M14" s="131" t="s">
        <v>526</v>
      </c>
      <c r="N14" s="131" t="s">
        <v>613</v>
      </c>
      <c r="O14" s="131" t="s">
        <v>557</v>
      </c>
      <c r="P14" s="131" t="s">
        <v>548</v>
      </c>
      <c r="Q14" s="196" t="s">
        <v>560</v>
      </c>
      <c r="T14" s="54"/>
      <c r="U14" s="277" t="s">
        <v>542</v>
      </c>
      <c r="V14" s="277" t="s">
        <v>378</v>
      </c>
      <c r="W14" s="277" t="s">
        <v>811</v>
      </c>
      <c r="X14" s="131" t="s">
        <v>281</v>
      </c>
      <c r="Y14" s="131" t="s">
        <v>284</v>
      </c>
      <c r="Z14" s="131" t="s">
        <v>276</v>
      </c>
      <c r="AA14" s="131" t="s">
        <v>690</v>
      </c>
      <c r="AB14" s="131" t="s">
        <v>705</v>
      </c>
      <c r="AC14" s="196" t="s">
        <v>733</v>
      </c>
      <c r="AE14" s="54"/>
      <c r="AF14" s="277" t="s">
        <v>542</v>
      </c>
      <c r="AG14" s="277" t="s">
        <v>378</v>
      </c>
      <c r="AH14" s="277" t="s">
        <v>811</v>
      </c>
      <c r="AI14" s="131" t="s">
        <v>281</v>
      </c>
      <c r="AJ14" s="131" t="s">
        <v>284</v>
      </c>
      <c r="AK14" s="131" t="s">
        <v>276</v>
      </c>
      <c r="AL14" s="131" t="s">
        <v>690</v>
      </c>
      <c r="AM14" s="131" t="s">
        <v>705</v>
      </c>
      <c r="AN14" s="196" t="s">
        <v>733</v>
      </c>
      <c r="AP14" s="334">
        <v>0.1</v>
      </c>
      <c r="AQ14" s="170">
        <f>AP14*AS$14</f>
        <v>8.3150000000000013</v>
      </c>
      <c r="AR14" s="284">
        <f>AP14*AL$26</f>
        <v>956.11649696653137</v>
      </c>
      <c r="AS14">
        <v>83.15</v>
      </c>
      <c r="AV14" s="155">
        <v>2022</v>
      </c>
      <c r="AW14" s="19">
        <v>0.54</v>
      </c>
      <c r="AY14" s="19">
        <f>AW14</f>
        <v>0.54</v>
      </c>
      <c r="AZ14" s="104"/>
      <c r="BA14" s="351">
        <v>115</v>
      </c>
      <c r="BB14" s="351">
        <f t="shared" ref="BB14:BB28" si="0">AW14*BA14</f>
        <v>62.1</v>
      </c>
      <c r="BC14" s="5">
        <f t="shared" ref="BC14:BC28" si="1">AW14*BA$7</f>
        <v>218057.14285714284</v>
      </c>
      <c r="BD14" s="5">
        <f>BC14</f>
        <v>218057.14285714284</v>
      </c>
      <c r="BE14" s="8">
        <f t="shared" ref="BE14:BE28" si="2">BC14/BA$8</f>
        <v>0.31648351648351647</v>
      </c>
      <c r="BF14" s="8">
        <f>BD14/BA$9</f>
        <v>1.6553151133718422E-3</v>
      </c>
      <c r="BG14" s="275">
        <f>N$30*BD$3</f>
        <v>32.333210000000001</v>
      </c>
      <c r="BH14" s="352">
        <f t="shared" ref="BH14:BH28" si="3">(BC14*BG14*1000)/AW$2</f>
        <v>7.050487392</v>
      </c>
      <c r="BJ14" s="5"/>
    </row>
    <row r="15" spans="1:62" x14ac:dyDescent="0.35">
      <c r="C15" s="195"/>
      <c r="D15" s="131" t="s">
        <v>542</v>
      </c>
      <c r="E15" s="131"/>
      <c r="F15" s="131" t="s">
        <v>542</v>
      </c>
      <c r="G15" s="131" t="s">
        <v>517</v>
      </c>
      <c r="H15" s="131" t="s">
        <v>490</v>
      </c>
      <c r="I15" s="131" t="s">
        <v>626</v>
      </c>
      <c r="J15" s="131" t="s">
        <v>534</v>
      </c>
      <c r="K15" s="131" t="s">
        <v>532</v>
      </c>
      <c r="L15" s="131"/>
      <c r="M15" s="131" t="s">
        <v>522</v>
      </c>
      <c r="N15" s="131" t="s">
        <v>611</v>
      </c>
      <c r="O15" s="131"/>
      <c r="P15" s="131" t="s">
        <v>549</v>
      </c>
      <c r="Q15" s="196" t="s">
        <v>614</v>
      </c>
      <c r="T15" s="54"/>
      <c r="U15" s="277" t="s">
        <v>862</v>
      </c>
      <c r="V15" s="277" t="s">
        <v>707</v>
      </c>
      <c r="W15" s="277" t="s">
        <v>523</v>
      </c>
      <c r="X15" s="131" t="s">
        <v>282</v>
      </c>
      <c r="Y15" s="131" t="s">
        <v>285</v>
      </c>
      <c r="Z15" s="131" t="s">
        <v>454</v>
      </c>
      <c r="AA15" s="131" t="s">
        <v>682</v>
      </c>
      <c r="AB15" s="131" t="s">
        <v>706</v>
      </c>
      <c r="AC15" s="196"/>
      <c r="AE15" s="54"/>
      <c r="AF15" s="277" t="s">
        <v>862</v>
      </c>
      <c r="AG15" s="277" t="s">
        <v>707</v>
      </c>
      <c r="AH15" s="277" t="s">
        <v>809</v>
      </c>
      <c r="AI15" s="131" t="s">
        <v>282</v>
      </c>
      <c r="AJ15" s="131" t="s">
        <v>285</v>
      </c>
      <c r="AK15" s="131" t="s">
        <v>454</v>
      </c>
      <c r="AL15" s="131" t="s">
        <v>682</v>
      </c>
      <c r="AM15" s="131" t="s">
        <v>706</v>
      </c>
      <c r="AN15" s="196"/>
      <c r="AP15" s="338">
        <v>0.2</v>
      </c>
      <c r="AQ15" s="347">
        <f>AP15*AS$14</f>
        <v>16.630000000000003</v>
      </c>
      <c r="AR15" s="339">
        <f>AP15*AL$26</f>
        <v>1912.2329939330627</v>
      </c>
      <c r="AV15" s="155">
        <v>2023</v>
      </c>
      <c r="AW15" s="19">
        <f t="shared" ref="AW15:AW28" si="4">AW14*(1+AZ15)</f>
        <v>0.81</v>
      </c>
      <c r="AX15" s="19">
        <f t="shared" ref="AX15:AX28" si="5">AW15-AW14</f>
        <v>0.27</v>
      </c>
      <c r="AY15" s="19">
        <f>AY14+AW15</f>
        <v>1.35</v>
      </c>
      <c r="AZ15" s="8">
        <v>0.5</v>
      </c>
      <c r="BA15" s="351">
        <v>115</v>
      </c>
      <c r="BB15" s="351">
        <f t="shared" si="0"/>
        <v>93.15</v>
      </c>
      <c r="BC15" s="5">
        <f t="shared" si="1"/>
        <v>327085.71428571426</v>
      </c>
      <c r="BD15" s="5">
        <f>BC15+BD14</f>
        <v>545142.85714285704</v>
      </c>
      <c r="BE15" s="8">
        <f t="shared" si="2"/>
        <v>0.4747252747252747</v>
      </c>
      <c r="BF15" s="8">
        <f t="shared" ref="BF15:BF28" si="6">BD15/BA$9</f>
        <v>4.1382877834296051E-3</v>
      </c>
      <c r="BG15" s="275">
        <f>N$30*BD$3</f>
        <v>32.333210000000001</v>
      </c>
      <c r="BH15" s="352">
        <f t="shared" si="3"/>
        <v>10.575731088</v>
      </c>
    </row>
    <row r="16" spans="1:62" x14ac:dyDescent="0.35">
      <c r="C16" s="195"/>
      <c r="D16" s="131" t="s">
        <v>527</v>
      </c>
      <c r="E16" s="131">
        <v>2014</v>
      </c>
      <c r="F16" s="131" t="str">
        <f>D16</f>
        <v>Data date 2014</v>
      </c>
      <c r="G16" s="131">
        <f>E16</f>
        <v>2014</v>
      </c>
      <c r="H16" s="131" t="s">
        <v>542</v>
      </c>
      <c r="I16" s="131" t="s">
        <v>625</v>
      </c>
      <c r="J16" s="131"/>
      <c r="K16" s="131" t="s">
        <v>542</v>
      </c>
      <c r="L16" s="131"/>
      <c r="M16" s="131"/>
      <c r="N16" s="131" t="s">
        <v>612</v>
      </c>
      <c r="O16" s="131"/>
      <c r="P16" s="131" t="s">
        <v>541</v>
      </c>
      <c r="Q16" s="196" t="s">
        <v>663</v>
      </c>
      <c r="T16" s="155" t="s">
        <v>696</v>
      </c>
      <c r="U16" s="298">
        <f>K30</f>
        <v>0.68899999999999995</v>
      </c>
      <c r="V16" s="279">
        <f>N30</f>
        <v>32.333210000000001</v>
      </c>
      <c r="W16" s="279">
        <f>U16*V16</f>
        <v>22.277581689999998</v>
      </c>
      <c r="X16" s="213">
        <f t="shared" ref="X16:AC25" si="7">(X43/$Y$37)/$U16</f>
        <v>5.3301282051282062</v>
      </c>
      <c r="Y16" s="213">
        <f t="shared" si="7"/>
        <v>7.4621794871794886</v>
      </c>
      <c r="Z16" s="213">
        <f t="shared" si="7"/>
        <v>6.3961538461538465</v>
      </c>
      <c r="AA16" s="213">
        <f t="shared" si="7"/>
        <v>4.8732600732600728</v>
      </c>
      <c r="AB16" s="213">
        <f t="shared" si="7"/>
        <v>6.4199313697454974</v>
      </c>
      <c r="AC16" s="301">
        <f t="shared" si="7"/>
        <v>0</v>
      </c>
      <c r="AE16" s="155" t="s">
        <v>696</v>
      </c>
      <c r="AF16" s="280">
        <f>H30</f>
        <v>131.73150000000001</v>
      </c>
      <c r="AG16" s="279">
        <f>N30</f>
        <v>32.333210000000001</v>
      </c>
      <c r="AH16" s="279">
        <f>AF16*AG16</f>
        <v>4259.3022531150009</v>
      </c>
      <c r="AI16" s="306">
        <f>$AF16/AI43</f>
        <v>3.5870114251352976</v>
      </c>
      <c r="AJ16" s="306">
        <f>$AF16/AJ43</f>
        <v>2.5621510179537839</v>
      </c>
      <c r="AK16" s="306">
        <f>$AF16/AK43</f>
        <v>2.9891761876127485</v>
      </c>
      <c r="AL16" s="306">
        <f>$AF16/AL43</f>
        <v>3.9232937462417325</v>
      </c>
      <c r="AM16" s="306">
        <f>$AF16/AM43</f>
        <v>2.9781051646956636</v>
      </c>
      <c r="AN16" s="307" t="s">
        <v>576</v>
      </c>
      <c r="AP16" s="334">
        <v>0.4</v>
      </c>
      <c r="AQ16" s="170">
        <f>AP16*AS$14</f>
        <v>33.260000000000005</v>
      </c>
      <c r="AR16" s="284">
        <f>AP16*AL$26</f>
        <v>3824.4659878661255</v>
      </c>
      <c r="AV16" s="155">
        <v>2024</v>
      </c>
      <c r="AW16" s="19">
        <f t="shared" si="4"/>
        <v>1.2150000000000001</v>
      </c>
      <c r="AX16" s="19">
        <f t="shared" si="5"/>
        <v>0.40500000000000003</v>
      </c>
      <c r="AY16" s="19">
        <f t="shared" ref="AY16:AY27" si="8">AY15+AW16</f>
        <v>2.5650000000000004</v>
      </c>
      <c r="AZ16" s="8">
        <v>0.5</v>
      </c>
      <c r="BA16" s="351">
        <v>115</v>
      </c>
      <c r="BB16" s="351">
        <f t="shared" si="0"/>
        <v>139.72500000000002</v>
      </c>
      <c r="BC16" s="5">
        <f t="shared" si="1"/>
        <v>490628.57142857136</v>
      </c>
      <c r="BD16" s="5">
        <f t="shared" ref="BD16:BD27" si="9">BC16+BD15</f>
        <v>1035771.4285714284</v>
      </c>
      <c r="BE16" s="8">
        <f t="shared" si="2"/>
        <v>0.712087912087912</v>
      </c>
      <c r="BF16" s="8">
        <f t="shared" si="6"/>
        <v>7.8627467885162491E-3</v>
      </c>
      <c r="BG16" s="275">
        <f>N$30*BD$3</f>
        <v>32.333210000000001</v>
      </c>
      <c r="BH16" s="352">
        <f t="shared" si="3"/>
        <v>15.863596632</v>
      </c>
    </row>
    <row r="17" spans="3:60" x14ac:dyDescent="0.35">
      <c r="C17" s="54" t="s">
        <v>763</v>
      </c>
      <c r="D17" s="197">
        <v>1714</v>
      </c>
      <c r="E17" s="198">
        <f>D17/D$49</f>
        <v>0.22853333333333334</v>
      </c>
      <c r="F17" s="197">
        <v>5992</v>
      </c>
      <c r="G17" s="198">
        <v>0.28399999999999997</v>
      </c>
      <c r="H17" s="199">
        <f>Mn!K27/1000</f>
        <v>1718</v>
      </c>
      <c r="I17" s="191">
        <v>5200</v>
      </c>
      <c r="J17" s="177" t="s">
        <v>535</v>
      </c>
      <c r="K17" s="197">
        <f>Mn!I27/H7</f>
        <v>20.09</v>
      </c>
      <c r="L17" s="200">
        <f>RawMaterialsBEV!G15</f>
        <v>2022</v>
      </c>
      <c r="M17" s="198">
        <f>K17/K18</f>
        <v>0.40585858585858586</v>
      </c>
      <c r="N17" s="170">
        <f>CostOfRawMaterialsBEV!D17</f>
        <v>4.6190299999999995</v>
      </c>
      <c r="O17" s="201">
        <f>CostOfRawMaterialsBEV!F17</f>
        <v>45010</v>
      </c>
      <c r="P17" s="179">
        <f t="shared" ref="P17:P18" si="10">N17*H$7*K17</f>
        <v>92796.312699999995</v>
      </c>
      <c r="Q17" s="228" t="s">
        <v>673</v>
      </c>
      <c r="T17" s="155" t="s">
        <v>693</v>
      </c>
      <c r="U17" s="225">
        <f>K32</f>
        <v>58</v>
      </c>
      <c r="V17" s="279">
        <f>N32</f>
        <v>0.35673124</v>
      </c>
      <c r="W17" s="279">
        <f t="shared" ref="W17:W25" si="11">U17*V17</f>
        <v>20.690411919999999</v>
      </c>
      <c r="X17" s="213">
        <f t="shared" si="7"/>
        <v>0</v>
      </c>
      <c r="Y17" s="213">
        <f t="shared" si="7"/>
        <v>0</v>
      </c>
      <c r="Z17" s="213">
        <f t="shared" si="7"/>
        <v>0</v>
      </c>
      <c r="AA17" s="213">
        <f t="shared" si="7"/>
        <v>0</v>
      </c>
      <c r="AB17" s="213">
        <f t="shared" si="7"/>
        <v>0</v>
      </c>
      <c r="AC17" s="301">
        <f t="shared" si="7"/>
        <v>5.5642403017241382E-2</v>
      </c>
      <c r="AE17" s="155" t="s">
        <v>693</v>
      </c>
      <c r="AF17" s="32">
        <f>H32</f>
        <v>25000</v>
      </c>
      <c r="AG17" s="279">
        <f>N32</f>
        <v>0.35673124</v>
      </c>
      <c r="AH17" s="279">
        <f t="shared" ref="AH17:AH25" si="12">AF17*AG17</f>
        <v>8918.2810000000009</v>
      </c>
      <c r="AI17" s="306" t="s">
        <v>576</v>
      </c>
      <c r="AJ17" s="306" t="s">
        <v>576</v>
      </c>
      <c r="AK17" s="306" t="s">
        <v>576</v>
      </c>
      <c r="AL17" s="306" t="s">
        <v>576</v>
      </c>
      <c r="AM17" s="306" t="s">
        <v>576</v>
      </c>
      <c r="AN17" s="307">
        <f>$AF17/AN44</f>
        <v>774.65109230645589</v>
      </c>
      <c r="AP17" s="335">
        <v>2</v>
      </c>
      <c r="AQ17" s="348">
        <f>AP17*AS$14</f>
        <v>166.3</v>
      </c>
      <c r="AR17" s="326">
        <f>AP17*AL$26</f>
        <v>19122.329939330626</v>
      </c>
      <c r="AV17" s="155">
        <v>2025</v>
      </c>
      <c r="AW17" s="19">
        <f t="shared" si="4"/>
        <v>1.8225000000000002</v>
      </c>
      <c r="AX17" s="19">
        <f t="shared" si="5"/>
        <v>0.60750000000000015</v>
      </c>
      <c r="AY17" s="19">
        <f t="shared" si="8"/>
        <v>4.3875000000000011</v>
      </c>
      <c r="AZ17" s="8">
        <v>0.5</v>
      </c>
      <c r="BA17" s="351">
        <v>115</v>
      </c>
      <c r="BB17" s="351">
        <f t="shared" si="0"/>
        <v>209.58750000000003</v>
      </c>
      <c r="BC17" s="5">
        <f t="shared" si="1"/>
        <v>735942.85714285704</v>
      </c>
      <c r="BD17" s="5">
        <f t="shared" si="9"/>
        <v>1771714.2857142854</v>
      </c>
      <c r="BE17" s="8">
        <f t="shared" si="2"/>
        <v>1.0681318681318679</v>
      </c>
      <c r="BF17" s="8">
        <f t="shared" si="6"/>
        <v>1.3449435296146216E-2</v>
      </c>
      <c r="BG17" s="275">
        <f>N$30*BD$3</f>
        <v>32.333210000000001</v>
      </c>
      <c r="BH17" s="352">
        <f t="shared" si="3"/>
        <v>23.795394947999998</v>
      </c>
    </row>
    <row r="18" spans="3:60" ht="15" thickBot="1" x14ac:dyDescent="0.4">
      <c r="C18" s="54" t="s">
        <v>537</v>
      </c>
      <c r="D18" s="197" t="s">
        <v>15</v>
      </c>
      <c r="E18" s="198" t="s">
        <v>15</v>
      </c>
      <c r="F18" s="197" t="s">
        <v>15</v>
      </c>
      <c r="G18" s="198" t="s">
        <v>15</v>
      </c>
      <c r="H18" s="199" t="s">
        <v>15</v>
      </c>
      <c r="I18" s="191" t="s">
        <v>15</v>
      </c>
      <c r="J18" s="177" t="s">
        <v>15</v>
      </c>
      <c r="K18" s="197">
        <v>49.5</v>
      </c>
      <c r="L18" s="200" t="s">
        <v>15</v>
      </c>
      <c r="M18" s="198" t="s">
        <v>15</v>
      </c>
      <c r="N18" s="170">
        <f>P$9</f>
        <v>0.12</v>
      </c>
      <c r="O18" s="201" t="s">
        <v>15</v>
      </c>
      <c r="P18" s="179">
        <f t="shared" si="10"/>
        <v>5940</v>
      </c>
      <c r="Q18" s="228" t="s">
        <v>660</v>
      </c>
      <c r="T18" s="155" t="s">
        <v>303</v>
      </c>
      <c r="U18" s="225">
        <f>K33</f>
        <v>0.19</v>
      </c>
      <c r="V18" s="279">
        <f>N33</f>
        <v>34.93</v>
      </c>
      <c r="W18" s="279">
        <f t="shared" si="11"/>
        <v>6.6367000000000003</v>
      </c>
      <c r="X18" s="213">
        <f t="shared" si="7"/>
        <v>3.6469298245614037</v>
      </c>
      <c r="Y18" s="213">
        <f t="shared" si="7"/>
        <v>8.0232456140350887</v>
      </c>
      <c r="Z18" s="213">
        <f t="shared" si="7"/>
        <v>0</v>
      </c>
      <c r="AA18" s="213">
        <f t="shared" si="7"/>
        <v>0</v>
      </c>
      <c r="AB18" s="213">
        <f t="shared" si="7"/>
        <v>3.2537663862257875</v>
      </c>
      <c r="AC18" s="301">
        <f t="shared" si="7"/>
        <v>0</v>
      </c>
      <c r="AE18" s="155" t="s">
        <v>303</v>
      </c>
      <c r="AF18" s="32">
        <f>H33</f>
        <v>8.3450000000000006</v>
      </c>
      <c r="AG18" s="279">
        <f>N33</f>
        <v>34.93</v>
      </c>
      <c r="AH18" s="279">
        <f t="shared" si="12"/>
        <v>291.49085000000002</v>
      </c>
      <c r="AI18" s="306">
        <f t="shared" ref="AI18:AJ21" si="13">$AF18/AI45</f>
        <v>1.2043295249549009</v>
      </c>
      <c r="AJ18" s="306">
        <f t="shared" si="13"/>
        <v>0.54742251134313669</v>
      </c>
      <c r="AK18" s="306" t="s">
        <v>576</v>
      </c>
      <c r="AL18" s="306" t="s">
        <v>576</v>
      </c>
      <c r="AM18" s="306">
        <f>$AF18/AM45</f>
        <v>1.3498526758869513</v>
      </c>
      <c r="AN18" s="307" t="s">
        <v>576</v>
      </c>
      <c r="AP18" s="334">
        <f>AQ18/AS14</f>
        <v>2.8863499699338542</v>
      </c>
      <c r="AQ18" s="170">
        <v>240</v>
      </c>
      <c r="AR18" s="284">
        <f>AP18*AL$26</f>
        <v>27596.868222726094</v>
      </c>
      <c r="AV18" s="155">
        <v>2026</v>
      </c>
      <c r="AW18" s="19">
        <f t="shared" si="4"/>
        <v>2.7337500000000006</v>
      </c>
      <c r="AX18" s="19">
        <f t="shared" si="5"/>
        <v>0.91125000000000034</v>
      </c>
      <c r="AY18" s="19">
        <f t="shared" si="8"/>
        <v>7.1212500000000016</v>
      </c>
      <c r="AZ18" s="8">
        <v>0.5</v>
      </c>
      <c r="BA18" s="351">
        <v>115</v>
      </c>
      <c r="BB18" s="351">
        <f t="shared" si="0"/>
        <v>314.38125000000008</v>
      </c>
      <c r="BC18" s="5">
        <f t="shared" si="1"/>
        <v>1103914.2857142857</v>
      </c>
      <c r="BD18" s="5">
        <f t="shared" si="9"/>
        <v>2875628.5714285709</v>
      </c>
      <c r="BE18" s="8">
        <f t="shared" si="2"/>
        <v>1.6021978021978021</v>
      </c>
      <c r="BF18" s="8">
        <f t="shared" si="6"/>
        <v>2.1829468057591166E-2</v>
      </c>
      <c r="BG18" s="275">
        <f>N$30*BD$3</f>
        <v>32.333210000000001</v>
      </c>
      <c r="BH18" s="352">
        <f t="shared" si="3"/>
        <v>35.693092421999999</v>
      </c>
    </row>
    <row r="19" spans="3:60" ht="15.5" thickTop="1" thickBot="1" x14ac:dyDescent="0.4">
      <c r="C19" s="54" t="s">
        <v>869</v>
      </c>
      <c r="Q19" s="234" t="s">
        <v>654</v>
      </c>
      <c r="T19" s="155" t="s">
        <v>304</v>
      </c>
      <c r="U19" s="225">
        <f>K25</f>
        <v>3.3</v>
      </c>
      <c r="V19" s="279">
        <f>N25</f>
        <v>24.446999999999999</v>
      </c>
      <c r="W19" s="279">
        <f t="shared" si="11"/>
        <v>80.675099999999986</v>
      </c>
      <c r="X19" s="213">
        <f t="shared" si="7"/>
        <v>1.6378030303030304</v>
      </c>
      <c r="Y19" s="213">
        <f t="shared" si="7"/>
        <v>1.1758585858585859</v>
      </c>
      <c r="Z19" s="213">
        <f t="shared" si="7"/>
        <v>0</v>
      </c>
      <c r="AA19" s="213">
        <f t="shared" si="7"/>
        <v>0</v>
      </c>
      <c r="AB19" s="213">
        <f t="shared" si="7"/>
        <v>1.8733806466148479</v>
      </c>
      <c r="AC19" s="301">
        <f t="shared" si="7"/>
        <v>0</v>
      </c>
      <c r="AE19" s="155" t="s">
        <v>304</v>
      </c>
      <c r="AF19" s="32">
        <f>H25</f>
        <v>102.07</v>
      </c>
      <c r="AG19" s="279">
        <f>N25</f>
        <v>24.446999999999999</v>
      </c>
      <c r="AH19" s="279">
        <f t="shared" si="12"/>
        <v>2495.3052899999998</v>
      </c>
      <c r="AI19" s="306">
        <f t="shared" si="13"/>
        <v>1.888523983533003</v>
      </c>
      <c r="AJ19" s="306">
        <f t="shared" si="13"/>
        <v>2.6304441199209689</v>
      </c>
      <c r="AK19" s="306" t="s">
        <v>576</v>
      </c>
      <c r="AL19" s="306" t="s">
        <v>576</v>
      </c>
      <c r="AM19" s="306">
        <f>$AF19/AM46</f>
        <v>1.6510420926037277</v>
      </c>
      <c r="AN19" s="307" t="s">
        <v>576</v>
      </c>
      <c r="AP19" s="330" t="s">
        <v>855</v>
      </c>
      <c r="AQ19" s="329"/>
      <c r="AR19" s="331">
        <v>96530</v>
      </c>
      <c r="AS19" t="s">
        <v>86</v>
      </c>
      <c r="AT19" s="9" t="s">
        <v>854</v>
      </c>
      <c r="AV19" s="155">
        <v>2027</v>
      </c>
      <c r="AW19" s="19">
        <f t="shared" si="4"/>
        <v>4.1006250000000009</v>
      </c>
      <c r="AX19" s="19">
        <f t="shared" si="5"/>
        <v>1.3668750000000003</v>
      </c>
      <c r="AY19" s="19">
        <f t="shared" si="8"/>
        <v>11.221875000000002</v>
      </c>
      <c r="AZ19" s="8">
        <v>0.5</v>
      </c>
      <c r="BA19" s="351">
        <v>84</v>
      </c>
      <c r="BB19" s="351">
        <f t="shared" si="0"/>
        <v>344.4525000000001</v>
      </c>
      <c r="BC19" s="5">
        <f t="shared" si="1"/>
        <v>1655871.4285714286</v>
      </c>
      <c r="BD19" s="5">
        <f t="shared" si="9"/>
        <v>4531500</v>
      </c>
      <c r="BE19" s="8">
        <f t="shared" si="2"/>
        <v>2.4032967032967032</v>
      </c>
      <c r="BF19" s="8">
        <f t="shared" si="6"/>
        <v>3.4399517199758596E-2</v>
      </c>
      <c r="BG19" s="275">
        <f t="shared" ref="BG19:BG24" si="14">N$30*BE$3</f>
        <v>12.933284</v>
      </c>
      <c r="BH19" s="352">
        <f t="shared" si="3"/>
        <v>21.415855453200003</v>
      </c>
    </row>
    <row r="20" spans="3:60" ht="15" thickTop="1" x14ac:dyDescent="0.35">
      <c r="C20" s="54" t="s">
        <v>764</v>
      </c>
      <c r="D20" s="202">
        <v>7.4</v>
      </c>
      <c r="E20" s="203">
        <f>D20/D$49</f>
        <v>9.8666666666666672E-4</v>
      </c>
      <c r="F20" s="202">
        <v>226</v>
      </c>
      <c r="G20" s="203">
        <f>F20/F$49</f>
        <v>1.0711615487316421E-2</v>
      </c>
      <c r="H20" s="204">
        <v>870</v>
      </c>
      <c r="I20" s="205">
        <v>5000</v>
      </c>
      <c r="J20" s="206" t="s">
        <v>732</v>
      </c>
      <c r="K20" s="202">
        <f>RawMaterialsBEV!F14/H8</f>
        <v>21.84</v>
      </c>
      <c r="L20" s="207">
        <f>RawMaterialsBEV!G14</f>
        <v>2022</v>
      </c>
      <c r="M20" s="203">
        <v>6.0000000000000001E-3</v>
      </c>
      <c r="N20" s="208">
        <f>CostOfRawMaterialsBEV!D16</f>
        <v>8.2297600000000006</v>
      </c>
      <c r="O20" s="209">
        <f>CostOfRawMaterialsBEV!F16</f>
        <v>45065</v>
      </c>
      <c r="P20" s="210">
        <f t="shared" ref="P20:P26" si="15">N20*H$7*K20</f>
        <v>179737.9584</v>
      </c>
      <c r="Q20" s="159" t="s">
        <v>564</v>
      </c>
      <c r="T20" s="155" t="s">
        <v>683</v>
      </c>
      <c r="U20" s="225">
        <f>K17</f>
        <v>20.09</v>
      </c>
      <c r="V20" s="279">
        <f>N17</f>
        <v>4.6190299999999995</v>
      </c>
      <c r="W20" s="279">
        <f t="shared" si="11"/>
        <v>92.796312699999987</v>
      </c>
      <c r="X20" s="213">
        <f t="shared" si="7"/>
        <v>3.4490625518500087E-2</v>
      </c>
      <c r="Y20" s="213">
        <f t="shared" si="7"/>
        <v>0.11037000165920027</v>
      </c>
      <c r="Z20" s="213">
        <f t="shared" si="7"/>
        <v>0</v>
      </c>
      <c r="AA20" s="213">
        <f t="shared" si="7"/>
        <v>0.10774214447683837</v>
      </c>
      <c r="AB20" s="213">
        <f t="shared" si="7"/>
        <v>0</v>
      </c>
      <c r="AC20" s="301">
        <f t="shared" si="7"/>
        <v>0.12933984569437532</v>
      </c>
      <c r="AE20" s="155" t="s">
        <v>683</v>
      </c>
      <c r="AF20" s="32">
        <f>H17</f>
        <v>1718</v>
      </c>
      <c r="AG20" s="279">
        <f>N17</f>
        <v>4.6190299999999995</v>
      </c>
      <c r="AH20" s="279">
        <f t="shared" si="12"/>
        <v>7935.4935399999995</v>
      </c>
      <c r="AI20" s="306">
        <f t="shared" si="13"/>
        <v>247.93746241731807</v>
      </c>
      <c r="AJ20" s="306">
        <f t="shared" si="13"/>
        <v>77.480457005411893</v>
      </c>
      <c r="AK20" s="306" t="s">
        <v>576</v>
      </c>
      <c r="AL20" s="306">
        <f>$AF20/AL47</f>
        <v>79.370224249446323</v>
      </c>
      <c r="AM20" s="306" t="s">
        <v>576</v>
      </c>
      <c r="AN20" s="307">
        <f>$AF20/AN47</f>
        <v>66.116656644618146</v>
      </c>
      <c r="AP20" s="18" t="s">
        <v>858</v>
      </c>
      <c r="AR20" s="336">
        <f>P56/AT20</f>
        <v>1247.4000000000001</v>
      </c>
      <c r="AS20" t="s">
        <v>857</v>
      </c>
      <c r="AT20">
        <v>1000</v>
      </c>
      <c r="AV20" s="155">
        <v>2028</v>
      </c>
      <c r="AW20" s="19">
        <f t="shared" si="4"/>
        <v>6.1509375000000013</v>
      </c>
      <c r="AX20" s="19">
        <f t="shared" si="5"/>
        <v>2.0503125000000004</v>
      </c>
      <c r="AY20" s="19">
        <f t="shared" si="8"/>
        <v>17.372812500000002</v>
      </c>
      <c r="AZ20" s="8">
        <v>0.5</v>
      </c>
      <c r="BA20" s="351">
        <v>84</v>
      </c>
      <c r="BB20" s="351">
        <f t="shared" si="0"/>
        <v>516.67875000000015</v>
      </c>
      <c r="BC20" s="5">
        <f t="shared" si="1"/>
        <v>2483807.1428571427</v>
      </c>
      <c r="BD20" s="5">
        <f t="shared" si="9"/>
        <v>7015307.1428571427</v>
      </c>
      <c r="BE20" s="8">
        <f t="shared" si="2"/>
        <v>3.6049450549450546</v>
      </c>
      <c r="BF20" s="8">
        <f t="shared" si="6"/>
        <v>5.3254590913009735E-2</v>
      </c>
      <c r="BG20" s="275">
        <f t="shared" si="14"/>
        <v>12.933284</v>
      </c>
      <c r="BH20" s="352">
        <f t="shared" si="3"/>
        <v>32.1237831798</v>
      </c>
    </row>
    <row r="21" spans="3:60" x14ac:dyDescent="0.35">
      <c r="C21" s="54" t="s">
        <v>546</v>
      </c>
      <c r="D21" s="202" t="s">
        <v>15</v>
      </c>
      <c r="E21" s="203" t="s">
        <v>15</v>
      </c>
      <c r="F21" s="202" t="s">
        <v>15</v>
      </c>
      <c r="G21" s="203" t="s">
        <v>15</v>
      </c>
      <c r="H21" s="204" t="s">
        <v>15</v>
      </c>
      <c r="I21" s="205" t="s">
        <v>15</v>
      </c>
      <c r="J21" s="206" t="s">
        <v>15</v>
      </c>
      <c r="K21" s="202">
        <f>K20*(1/$M20)</f>
        <v>3639.9999999999995</v>
      </c>
      <c r="L21" s="207" t="s">
        <v>15</v>
      </c>
      <c r="M21" s="203" t="s">
        <v>15</v>
      </c>
      <c r="N21" s="208">
        <f>P10</f>
        <v>0.05</v>
      </c>
      <c r="O21" s="209" t="s">
        <v>15</v>
      </c>
      <c r="P21" s="210">
        <f t="shared" si="15"/>
        <v>181999.99999999997</v>
      </c>
      <c r="Q21" s="159" t="s">
        <v>564</v>
      </c>
      <c r="T21" s="155" t="s">
        <v>819</v>
      </c>
      <c r="U21" s="225">
        <f>K54</f>
        <v>3.5</v>
      </c>
      <c r="V21" s="279">
        <f>N54</f>
        <v>9.5</v>
      </c>
      <c r="W21" s="346">
        <f t="shared" si="11"/>
        <v>33.25</v>
      </c>
      <c r="X21" s="213">
        <f t="shared" si="7"/>
        <v>1.7817857142857143</v>
      </c>
      <c r="Y21" s="213">
        <f t="shared" si="7"/>
        <v>2.0985476190476193</v>
      </c>
      <c r="Z21" s="213">
        <f t="shared" si="7"/>
        <v>2.613285714285714</v>
      </c>
      <c r="AA21" s="213">
        <f t="shared" si="7"/>
        <v>1.9910748299319729</v>
      </c>
      <c r="AB21" s="213">
        <f t="shared" si="7"/>
        <v>1.7551435652327849</v>
      </c>
      <c r="AC21" s="301">
        <f t="shared" si="7"/>
        <v>0</v>
      </c>
      <c r="AE21" s="155" t="s">
        <v>819</v>
      </c>
      <c r="AF21" s="32">
        <f>H54</f>
        <v>330</v>
      </c>
      <c r="AG21" s="279">
        <f>N54</f>
        <v>9.5</v>
      </c>
      <c r="AH21" s="346">
        <f t="shared" si="12"/>
        <v>3135</v>
      </c>
      <c r="AI21" s="306">
        <f t="shared" si="13"/>
        <v>5.2916416115453995</v>
      </c>
      <c r="AJ21" s="306">
        <f t="shared" si="13"/>
        <v>4.4929032550857171</v>
      </c>
      <c r="AK21" s="306">
        <f>$AF21/AK48</f>
        <v>3.6079374624173179</v>
      </c>
      <c r="AL21" s="306">
        <f>$AF21/AL48</f>
        <v>4.7354179194227299</v>
      </c>
      <c r="AM21" s="306">
        <f>$AF21/AM48</f>
        <v>5.3719659265143447</v>
      </c>
      <c r="AN21" s="307" t="s">
        <v>576</v>
      </c>
      <c r="AP21" s="18" t="s">
        <v>859</v>
      </c>
      <c r="AR21" s="284">
        <f>P57/AT20</f>
        <v>2201.1990000000001</v>
      </c>
      <c r="AV21" s="155">
        <v>2029</v>
      </c>
      <c r="AW21" s="19">
        <f t="shared" si="4"/>
        <v>8.6113125000000004</v>
      </c>
      <c r="AX21" s="19">
        <f t="shared" si="5"/>
        <v>2.4603749999999991</v>
      </c>
      <c r="AY21" s="19">
        <f t="shared" si="8"/>
        <v>25.984125000000002</v>
      </c>
      <c r="AZ21" s="8">
        <v>0.4</v>
      </c>
      <c r="BA21" s="351">
        <v>84</v>
      </c>
      <c r="BB21" s="351">
        <f t="shared" si="0"/>
        <v>723.35025000000007</v>
      </c>
      <c r="BC21" s="5">
        <f t="shared" si="1"/>
        <v>3477329.9999999995</v>
      </c>
      <c r="BD21" s="5">
        <f t="shared" si="9"/>
        <v>10492637.142857142</v>
      </c>
      <c r="BE21" s="8">
        <f t="shared" si="2"/>
        <v>5.0469230769230764</v>
      </c>
      <c r="BF21" s="8">
        <f t="shared" si="6"/>
        <v>7.9651694111561325E-2</v>
      </c>
      <c r="BG21" s="275">
        <f t="shared" si="14"/>
        <v>12.933284</v>
      </c>
      <c r="BH21" s="352">
        <f t="shared" si="3"/>
        <v>44.973296451719996</v>
      </c>
    </row>
    <row r="22" spans="3:60" x14ac:dyDescent="0.35">
      <c r="C22" s="54" t="s">
        <v>767</v>
      </c>
      <c r="D22" s="197">
        <v>88</v>
      </c>
      <c r="E22" s="198">
        <f>D22/D$49</f>
        <v>1.1733333333333333E-2</v>
      </c>
      <c r="F22" s="197">
        <v>67</v>
      </c>
      <c r="G22" s="198">
        <f>F22/F$49</f>
        <v>3.1755674232309744E-3</v>
      </c>
      <c r="H22" s="199">
        <v>414</v>
      </c>
      <c r="I22" s="191">
        <v>899</v>
      </c>
      <c r="J22" s="177">
        <f t="shared" ref="J22:J43" si="16">G$16</f>
        <v>2014</v>
      </c>
      <c r="K22" s="197">
        <f>K23*M22</f>
        <v>3.04</v>
      </c>
      <c r="L22" s="200">
        <f>L23</f>
        <v>2022</v>
      </c>
      <c r="M22" s="198">
        <v>0.32</v>
      </c>
      <c r="N22" s="170">
        <v>7.5</v>
      </c>
      <c r="O22" s="201">
        <v>45055</v>
      </c>
      <c r="P22" s="179">
        <f t="shared" si="15"/>
        <v>22800</v>
      </c>
      <c r="Q22" s="234" t="str">
        <f>Q23</f>
        <v>China 40%</v>
      </c>
      <c r="T22" s="155" t="s">
        <v>820</v>
      </c>
      <c r="U22" s="322">
        <f>K55</f>
        <v>0.02</v>
      </c>
      <c r="V22" s="279">
        <f>N55</f>
        <v>30</v>
      </c>
      <c r="W22" s="279">
        <f t="shared" si="11"/>
        <v>0.6</v>
      </c>
      <c r="X22" s="213">
        <f t="shared" si="7"/>
        <v>0</v>
      </c>
      <c r="Y22" s="213">
        <f t="shared" si="7"/>
        <v>0</v>
      </c>
      <c r="Z22" s="213">
        <f t="shared" si="7"/>
        <v>0</v>
      </c>
      <c r="AA22" s="213">
        <f t="shared" si="7"/>
        <v>0</v>
      </c>
      <c r="AB22" s="213">
        <f t="shared" si="7"/>
        <v>0</v>
      </c>
      <c r="AC22" s="301">
        <f t="shared" si="7"/>
        <v>519.6875</v>
      </c>
      <c r="AE22" s="155" t="s">
        <v>820</v>
      </c>
      <c r="AF22" s="183" t="s">
        <v>812</v>
      </c>
      <c r="AG22" s="279">
        <f>N55</f>
        <v>30</v>
      </c>
      <c r="AH22" s="364" t="s">
        <v>576</v>
      </c>
      <c r="AI22" s="306" t="s">
        <v>576</v>
      </c>
      <c r="AJ22" s="306" t="s">
        <v>576</v>
      </c>
      <c r="AK22" s="306" t="s">
        <v>576</v>
      </c>
      <c r="AL22" s="306" t="s">
        <v>576</v>
      </c>
      <c r="AM22" s="306" t="s">
        <v>576</v>
      </c>
      <c r="AN22" s="308" t="s">
        <v>812</v>
      </c>
      <c r="AP22" s="18" t="s">
        <v>860</v>
      </c>
      <c r="AR22" s="284">
        <f>P58/AT20</f>
        <v>1274.4111578889601</v>
      </c>
      <c r="AV22" s="155">
        <v>2030</v>
      </c>
      <c r="AW22" s="19">
        <f t="shared" si="4"/>
        <v>11.194706250000001</v>
      </c>
      <c r="AX22" s="19">
        <f t="shared" si="5"/>
        <v>2.5833937500000008</v>
      </c>
      <c r="AY22" s="19">
        <f t="shared" si="8"/>
        <v>37.178831250000002</v>
      </c>
      <c r="AZ22" s="8">
        <v>0.3</v>
      </c>
      <c r="BA22" s="351">
        <v>84</v>
      </c>
      <c r="BB22" s="351">
        <f t="shared" si="0"/>
        <v>940.35532500000011</v>
      </c>
      <c r="BC22" s="5">
        <f t="shared" si="1"/>
        <v>4520529</v>
      </c>
      <c r="BD22" s="5">
        <f t="shared" si="9"/>
        <v>15013166.142857142</v>
      </c>
      <c r="BE22" s="8">
        <f t="shared" si="2"/>
        <v>6.5609999999999999</v>
      </c>
      <c r="BF22" s="8">
        <f t="shared" si="6"/>
        <v>0.1139679282696784</v>
      </c>
      <c r="BG22" s="275">
        <f t="shared" si="14"/>
        <v>12.933284</v>
      </c>
      <c r="BH22" s="352">
        <f t="shared" si="3"/>
        <v>58.465285387236001</v>
      </c>
    </row>
    <row r="23" spans="3:60" ht="15" thickBot="1" x14ac:dyDescent="0.4">
      <c r="C23" s="54" t="s">
        <v>768</v>
      </c>
      <c r="D23" s="197" t="s">
        <v>15</v>
      </c>
      <c r="E23" s="198" t="s">
        <v>15</v>
      </c>
      <c r="F23" s="197" t="s">
        <v>15</v>
      </c>
      <c r="G23" s="198" t="s">
        <v>15</v>
      </c>
      <c r="H23" s="199" t="s">
        <v>15</v>
      </c>
      <c r="I23" s="191" t="s">
        <v>15</v>
      </c>
      <c r="J23" s="177" t="s">
        <v>15</v>
      </c>
      <c r="K23" s="197">
        <v>9.5</v>
      </c>
      <c r="L23" s="200">
        <v>2022</v>
      </c>
      <c r="M23" s="198" t="s">
        <v>15</v>
      </c>
      <c r="N23" s="170">
        <f>P$9</f>
        <v>0.12</v>
      </c>
      <c r="O23" s="201" t="s">
        <v>15</v>
      </c>
      <c r="P23" s="179">
        <f t="shared" si="15"/>
        <v>1140</v>
      </c>
      <c r="Q23" s="234" t="s">
        <v>656</v>
      </c>
      <c r="T23" s="155" t="s">
        <v>801</v>
      </c>
      <c r="U23" s="225">
        <f>K44</f>
        <v>1951</v>
      </c>
      <c r="V23" s="279">
        <f>N44</f>
        <v>0.52258994800000003</v>
      </c>
      <c r="W23" s="279">
        <f t="shared" si="11"/>
        <v>1019.572988548</v>
      </c>
      <c r="X23" s="213">
        <f t="shared" si="7"/>
        <v>1.420638988552879E-3</v>
      </c>
      <c r="Y23" s="213">
        <f t="shared" si="7"/>
        <v>1.420638988552879E-3</v>
      </c>
      <c r="Z23" s="213">
        <f t="shared" si="7"/>
        <v>4.759140611652145E-3</v>
      </c>
      <c r="AA23" s="213">
        <f t="shared" si="7"/>
        <v>2.5165604940079575E-3</v>
      </c>
      <c r="AB23" s="213">
        <f t="shared" si="7"/>
        <v>1.2165211561827351E-3</v>
      </c>
      <c r="AC23" s="301">
        <f t="shared" si="7"/>
        <v>7.9054120216128492E-3</v>
      </c>
      <c r="AE23" s="155" t="s">
        <v>801</v>
      </c>
      <c r="AF23" s="32">
        <f>H44</f>
        <v>99000.000000000015</v>
      </c>
      <c r="AG23" s="279">
        <f>N44</f>
        <v>0.52258994800000003</v>
      </c>
      <c r="AH23" s="279">
        <f t="shared" si="12"/>
        <v>51736.404852000007</v>
      </c>
      <c r="AI23" s="306">
        <f t="shared" ref="AI23:AN24" si="17">$AF23/AI50</f>
        <v>3571.8580877931454</v>
      </c>
      <c r="AJ23" s="306">
        <f t="shared" si="17"/>
        <v>3571.8580877931454</v>
      </c>
      <c r="AK23" s="306">
        <f t="shared" si="17"/>
        <v>1066.2262948636255</v>
      </c>
      <c r="AL23" s="306">
        <f t="shared" si="17"/>
        <v>2016.3715011735494</v>
      </c>
      <c r="AM23" s="306">
        <f t="shared" si="17"/>
        <v>4171.1735429405508</v>
      </c>
      <c r="AN23" s="307">
        <f t="shared" si="17"/>
        <v>641.87936659392733</v>
      </c>
      <c r="AP23" s="22" t="s">
        <v>861</v>
      </c>
      <c r="AQ23" s="24"/>
      <c r="AR23" s="337">
        <f>SUM(AR20:AR22)</f>
        <v>4723.0101578889607</v>
      </c>
      <c r="AV23" s="155">
        <v>2031</v>
      </c>
      <c r="AW23" s="19">
        <f t="shared" si="4"/>
        <v>13.881435750000001</v>
      </c>
      <c r="AX23" s="19">
        <f t="shared" si="5"/>
        <v>2.6867295000000002</v>
      </c>
      <c r="AY23" s="19">
        <f t="shared" si="8"/>
        <v>51.060267000000003</v>
      </c>
      <c r="AZ23" s="8">
        <v>0.24</v>
      </c>
      <c r="BA23" s="351">
        <v>84</v>
      </c>
      <c r="BB23" s="351">
        <f t="shared" si="0"/>
        <v>1166.0406030000001</v>
      </c>
      <c r="BC23" s="5">
        <f t="shared" si="1"/>
        <v>5605455.959999999</v>
      </c>
      <c r="BD23" s="5">
        <f t="shared" si="9"/>
        <v>20618622.102857143</v>
      </c>
      <c r="BE23" s="8">
        <f t="shared" si="2"/>
        <v>8.1356399999999987</v>
      </c>
      <c r="BF23" s="8">
        <f t="shared" si="6"/>
        <v>0.15652005862574359</v>
      </c>
      <c r="BG23" s="275">
        <f t="shared" si="14"/>
        <v>12.933284</v>
      </c>
      <c r="BH23" s="352">
        <f t="shared" si="3"/>
        <v>72.496953880172626</v>
      </c>
    </row>
    <row r="24" spans="3:60" ht="15" thickTop="1" x14ac:dyDescent="0.35">
      <c r="C24" s="54" t="s">
        <v>769</v>
      </c>
      <c r="D24" s="202">
        <v>16</v>
      </c>
      <c r="E24" s="203">
        <f>D24/D$49</f>
        <v>2.1333333333333334E-3</v>
      </c>
      <c r="F24" s="202">
        <v>15</v>
      </c>
      <c r="G24" s="203">
        <f>F24/F$49</f>
        <v>7.1094793057409876E-4</v>
      </c>
      <c r="H24" s="204">
        <v>110</v>
      </c>
      <c r="I24" s="205">
        <v>150</v>
      </c>
      <c r="J24" s="206">
        <f t="shared" si="16"/>
        <v>2014</v>
      </c>
      <c r="K24" s="202">
        <f>RawMaterialsBEV!F19/H8</f>
        <v>0.3</v>
      </c>
      <c r="L24" s="207">
        <f>RawMaterialsBEV!G19</f>
        <v>2019</v>
      </c>
      <c r="M24" s="203" t="s">
        <v>15</v>
      </c>
      <c r="N24" s="208">
        <f>CostOfRawMaterialsBEV!D21</f>
        <v>79.589439999999996</v>
      </c>
      <c r="O24" s="209">
        <f>CostOfRawMaterialsBEV!F21</f>
        <v>45055</v>
      </c>
      <c r="P24" s="211">
        <f t="shared" si="15"/>
        <v>23876.831999999999</v>
      </c>
      <c r="Q24" s="234" t="s">
        <v>657</v>
      </c>
      <c r="T24" s="155" t="s">
        <v>306</v>
      </c>
      <c r="U24" s="225">
        <f>K50</f>
        <v>68</v>
      </c>
      <c r="V24" s="279">
        <f>N50</f>
        <v>2.3479999999999999</v>
      </c>
      <c r="W24" s="279">
        <f t="shared" si="11"/>
        <v>159.66399999999999</v>
      </c>
      <c r="X24" s="213">
        <f t="shared" si="7"/>
        <v>6.113970588235295E-2</v>
      </c>
      <c r="Y24" s="213">
        <f t="shared" si="7"/>
        <v>7.1329656862745103E-2</v>
      </c>
      <c r="Z24" s="213">
        <f t="shared" si="7"/>
        <v>8.9671568627450987E-2</v>
      </c>
      <c r="AA24" s="213">
        <f t="shared" si="7"/>
        <v>6.8321195144724567E-2</v>
      </c>
      <c r="AB24" s="213">
        <f t="shared" si="7"/>
        <v>6.1594276186310977E-2</v>
      </c>
      <c r="AC24" s="301">
        <f t="shared" si="7"/>
        <v>0.16469508272058828</v>
      </c>
      <c r="AE24" s="155" t="s">
        <v>306</v>
      </c>
      <c r="AF24" s="32">
        <f>H50</f>
        <v>5547.3684210526317</v>
      </c>
      <c r="AG24" s="279">
        <f>N50</f>
        <v>2.3479999999999999</v>
      </c>
      <c r="AH24" s="279">
        <f t="shared" si="12"/>
        <v>13025.221052631578</v>
      </c>
      <c r="AI24" s="306">
        <f t="shared" si="17"/>
        <v>133.4303889609773</v>
      </c>
      <c r="AJ24" s="306">
        <f t="shared" si="17"/>
        <v>114.36890482369483</v>
      </c>
      <c r="AK24" s="306">
        <f t="shared" si="17"/>
        <v>90.975265200666342</v>
      </c>
      <c r="AL24" s="306">
        <f t="shared" si="17"/>
        <v>119.40503557587455</v>
      </c>
      <c r="AM24" s="306">
        <f t="shared" si="17"/>
        <v>132.4456628431841</v>
      </c>
      <c r="AN24" s="307">
        <f t="shared" si="17"/>
        <v>49.533323048158621</v>
      </c>
      <c r="AP24" s="119" t="s">
        <v>856</v>
      </c>
      <c r="AQ24" s="116"/>
      <c r="AR24" s="116"/>
      <c r="AV24" s="155">
        <v>2032</v>
      </c>
      <c r="AW24" s="353">
        <f t="shared" si="4"/>
        <v>16.102465470000002</v>
      </c>
      <c r="AX24" s="354">
        <f t="shared" si="5"/>
        <v>2.2210297200000007</v>
      </c>
      <c r="AY24" s="354">
        <f t="shared" si="8"/>
        <v>67.162732470000009</v>
      </c>
      <c r="AZ24" s="132">
        <v>0.16</v>
      </c>
      <c r="BA24" s="355">
        <v>84</v>
      </c>
      <c r="BB24" s="355">
        <f t="shared" si="0"/>
        <v>1352.6070994800002</v>
      </c>
      <c r="BC24" s="356">
        <f t="shared" si="1"/>
        <v>6502328.9135999996</v>
      </c>
      <c r="BD24" s="356">
        <f t="shared" si="9"/>
        <v>27120951.01645714</v>
      </c>
      <c r="BE24" s="132">
        <f t="shared" si="2"/>
        <v>9.4373423999999986</v>
      </c>
      <c r="BF24" s="132">
        <f t="shared" si="6"/>
        <v>0.20588052983877916</v>
      </c>
      <c r="BG24" s="357">
        <f t="shared" si="14"/>
        <v>12.933284</v>
      </c>
      <c r="BH24" s="312">
        <f t="shared" si="3"/>
        <v>84.096466501000265</v>
      </c>
    </row>
    <row r="25" spans="3:60" x14ac:dyDescent="0.35">
      <c r="C25" s="54" t="s">
        <v>770</v>
      </c>
      <c r="D25" s="197">
        <v>32</v>
      </c>
      <c r="E25" s="198">
        <f>D25/D$49</f>
        <v>4.2666666666666669E-3</v>
      </c>
      <c r="F25" s="197">
        <v>274</v>
      </c>
      <c r="G25" s="198">
        <f>F25/F$49</f>
        <v>1.2986648865153537E-2</v>
      </c>
      <c r="H25" s="199">
        <f>Ni!F19/H8</f>
        <v>102.07</v>
      </c>
      <c r="I25" s="191">
        <v>150</v>
      </c>
      <c r="J25" s="177" t="s">
        <v>535</v>
      </c>
      <c r="K25" s="197">
        <f>RawMaterialsBEV!F11/H8</f>
        <v>3.3</v>
      </c>
      <c r="L25" s="200">
        <f>RawMaterialsBEV!G11</f>
        <v>2022</v>
      </c>
      <c r="M25" s="198">
        <v>1.2E-2</v>
      </c>
      <c r="N25" s="170">
        <f>CostOfRawMaterialsBEV!D12</f>
        <v>24.446999999999999</v>
      </c>
      <c r="O25" s="201">
        <f>CostOfRawMaterialsBEV!F12</f>
        <v>45055</v>
      </c>
      <c r="P25" s="179">
        <f t="shared" si="15"/>
        <v>80675.099999999991</v>
      </c>
      <c r="Q25" s="21" t="s">
        <v>661</v>
      </c>
      <c r="T25" s="155" t="s">
        <v>307</v>
      </c>
      <c r="U25" s="225">
        <f>K20</f>
        <v>21.84</v>
      </c>
      <c r="V25" s="279">
        <f>N20</f>
        <v>8.2297600000000006</v>
      </c>
      <c r="W25" s="279">
        <f t="shared" si="11"/>
        <v>179.73795840000002</v>
      </c>
      <c r="X25" s="213">
        <f t="shared" si="7"/>
        <v>0.12690781440781443</v>
      </c>
      <c r="Y25" s="213">
        <f t="shared" si="7"/>
        <v>0.12690781440781443</v>
      </c>
      <c r="Z25" s="213">
        <f t="shared" si="7"/>
        <v>0.16498015873015875</v>
      </c>
      <c r="AA25" s="213">
        <f t="shared" si="7"/>
        <v>0.12569916855631144</v>
      </c>
      <c r="AB25" s="213">
        <f t="shared" si="7"/>
        <v>0.11322630281738089</v>
      </c>
      <c r="AC25" s="301">
        <f t="shared" si="7"/>
        <v>0</v>
      </c>
      <c r="AE25" s="155" t="s">
        <v>307</v>
      </c>
      <c r="AF25" s="32">
        <f>H20</f>
        <v>870</v>
      </c>
      <c r="AG25" s="279">
        <f>N20</f>
        <v>8.2297600000000006</v>
      </c>
      <c r="AH25" s="279">
        <f t="shared" si="12"/>
        <v>7159.8912000000009</v>
      </c>
      <c r="AI25" s="306">
        <f>$AF25/AI52</f>
        <v>31.389055923030664</v>
      </c>
      <c r="AJ25" s="306">
        <f>$AF25/AJ52</f>
        <v>31.389055923030664</v>
      </c>
      <c r="AK25" s="306">
        <f>$AF25/AK52</f>
        <v>24.14542763310051</v>
      </c>
      <c r="AL25" s="306">
        <f>$AF25/AL52</f>
        <v>31.690873768444419</v>
      </c>
      <c r="AM25" s="306">
        <f>$AF25/AM52</f>
        <v>35.181900180396873</v>
      </c>
      <c r="AN25" s="307" t="s">
        <v>576</v>
      </c>
      <c r="AV25" s="155">
        <v>2033</v>
      </c>
      <c r="AW25" s="19">
        <f t="shared" si="4"/>
        <v>16.585539434100003</v>
      </c>
      <c r="AX25" s="19">
        <f t="shared" si="5"/>
        <v>0.48307396410000081</v>
      </c>
      <c r="AY25" s="19">
        <f t="shared" si="8"/>
        <v>83.748271904100008</v>
      </c>
      <c r="AZ25" s="8">
        <v>0.03</v>
      </c>
      <c r="BA25" s="351">
        <v>58</v>
      </c>
      <c r="BB25" s="351">
        <f t="shared" si="0"/>
        <v>961.96128717780016</v>
      </c>
      <c r="BC25" s="5">
        <f t="shared" si="1"/>
        <v>6697398.7810079996</v>
      </c>
      <c r="BD25" s="5">
        <f t="shared" si="9"/>
        <v>33818349.797465138</v>
      </c>
      <c r="BE25" s="8">
        <f t="shared" si="2"/>
        <v>9.720462672</v>
      </c>
      <c r="BF25" s="8">
        <f t="shared" si="6"/>
        <v>0.2567218151882058</v>
      </c>
      <c r="BG25" s="275">
        <f>N$30*BF$3</f>
        <v>4.8499815000000002</v>
      </c>
      <c r="BH25" s="352">
        <f t="shared" si="3"/>
        <v>32.482260186011352</v>
      </c>
    </row>
    <row r="26" spans="3:60" x14ac:dyDescent="0.35">
      <c r="C26" s="54" t="s">
        <v>555</v>
      </c>
      <c r="D26" s="197" t="s">
        <v>15</v>
      </c>
      <c r="E26" s="198" t="s">
        <v>15</v>
      </c>
      <c r="F26" s="197" t="s">
        <v>15</v>
      </c>
      <c r="G26" s="198" t="s">
        <v>15</v>
      </c>
      <c r="H26" s="199" t="s">
        <v>15</v>
      </c>
      <c r="I26" s="191" t="s">
        <v>15</v>
      </c>
      <c r="J26" s="177" t="s">
        <v>15</v>
      </c>
      <c r="K26" s="197">
        <f>K25*(1/$M25)</f>
        <v>274.99999999999994</v>
      </c>
      <c r="L26" s="200" t="s">
        <v>15</v>
      </c>
      <c r="M26" s="198" t="s">
        <v>15</v>
      </c>
      <c r="N26" s="170">
        <f>P$9</f>
        <v>0.12</v>
      </c>
      <c r="O26" s="201" t="s">
        <v>15</v>
      </c>
      <c r="P26" s="179">
        <f t="shared" si="15"/>
        <v>32999.999999999993</v>
      </c>
      <c r="Q26" s="21" t="str">
        <f>Q25</f>
        <v>Indon.48%</v>
      </c>
      <c r="T26" s="195" t="s">
        <v>844</v>
      </c>
      <c r="U26" s="131"/>
      <c r="V26" s="131"/>
      <c r="W26" s="131"/>
      <c r="X26" s="302">
        <f>RM_ByBatChem!AH37</f>
        <v>10312.987079467446</v>
      </c>
      <c r="Y26" s="302">
        <f>RM_ByBatChem!AI37</f>
        <v>11219.058321937468</v>
      </c>
      <c r="Z26" s="302">
        <f>RM_ByBatChem!AJ37</f>
        <v>11133.432117658424</v>
      </c>
      <c r="AA26" s="302">
        <f>RM_ByBatChem!AK37</f>
        <v>9561.164969665313</v>
      </c>
      <c r="AB26" s="302">
        <f>RM_ByBatChem!AL37</f>
        <v>10707.342965862998</v>
      </c>
      <c r="AC26" s="302">
        <f>RM_ByBatChem!AM37</f>
        <v>11944.598577523495</v>
      </c>
      <c r="AD26" s="314"/>
      <c r="AE26" s="195" t="s">
        <v>844</v>
      </c>
      <c r="AF26" s="285"/>
      <c r="AG26" s="285"/>
      <c r="AH26" s="285"/>
      <c r="AI26" s="302">
        <f>RM_ByBatChem!AH37</f>
        <v>10312.987079467446</v>
      </c>
      <c r="AJ26" s="302">
        <f>RM_ByBatChem!AI37</f>
        <v>11219.058321937468</v>
      </c>
      <c r="AK26" s="302">
        <f>RM_ByBatChem!AJ37</f>
        <v>11133.432117658424</v>
      </c>
      <c r="AL26" s="302">
        <f>RM_ByBatChem!AK37</f>
        <v>9561.164969665313</v>
      </c>
      <c r="AM26" s="302">
        <f>RM_ByBatChem!AL37</f>
        <v>10707.342965862998</v>
      </c>
      <c r="AN26" s="303">
        <f>RM_ByBatChem!AM37</f>
        <v>11944.598577523495</v>
      </c>
      <c r="AV26" s="155">
        <v>2034</v>
      </c>
      <c r="AW26" s="19">
        <f t="shared" si="4"/>
        <v>17.083105617123003</v>
      </c>
      <c r="AX26" s="19">
        <f t="shared" si="5"/>
        <v>0.49756618302300026</v>
      </c>
      <c r="AY26" s="19">
        <f t="shared" si="8"/>
        <v>100.831377521223</v>
      </c>
      <c r="AZ26" s="8">
        <v>0.03</v>
      </c>
      <c r="BA26" s="351">
        <v>58</v>
      </c>
      <c r="BB26" s="351">
        <f t="shared" si="0"/>
        <v>990.82012579313414</v>
      </c>
      <c r="BC26" s="5">
        <f t="shared" si="1"/>
        <v>6898320.7444382403</v>
      </c>
      <c r="BD26" s="5">
        <f t="shared" si="9"/>
        <v>40716670.541903377</v>
      </c>
      <c r="BE26" s="8">
        <f t="shared" si="2"/>
        <v>10.01207655216</v>
      </c>
      <c r="BF26" s="8">
        <f t="shared" si="6"/>
        <v>0.30908833909811528</v>
      </c>
      <c r="BG26" s="275">
        <f>N$30*BF$3</f>
        <v>4.8499815000000002</v>
      </c>
      <c r="BH26" s="352">
        <f t="shared" si="3"/>
        <v>33.456727991591691</v>
      </c>
    </row>
    <row r="27" spans="3:60" x14ac:dyDescent="0.35">
      <c r="C27" s="54" t="s">
        <v>798</v>
      </c>
      <c r="D27" s="202">
        <v>4.8</v>
      </c>
      <c r="E27" s="203">
        <f>D27/D$49</f>
        <v>6.3999999999999994E-4</v>
      </c>
      <c r="F27" s="202">
        <v>9.4</v>
      </c>
      <c r="G27" s="203">
        <f>F27/F$49</f>
        <v>4.4552736982643524E-4</v>
      </c>
      <c r="H27" s="204">
        <v>14</v>
      </c>
      <c r="I27" s="205">
        <v>38</v>
      </c>
      <c r="J27" s="206">
        <f t="shared" si="16"/>
        <v>2014</v>
      </c>
      <c r="K27" s="202">
        <v>0.10580000000000001</v>
      </c>
      <c r="L27" s="207">
        <v>2020</v>
      </c>
      <c r="M27" s="203">
        <v>2E-3</v>
      </c>
      <c r="N27" s="208" t="s">
        <v>15</v>
      </c>
      <c r="O27" s="209" t="s">
        <v>15</v>
      </c>
      <c r="P27" s="210" t="s">
        <v>15</v>
      </c>
      <c r="Q27" s="234" t="s">
        <v>657</v>
      </c>
      <c r="T27" s="195" t="s">
        <v>782</v>
      </c>
      <c r="U27" s="285"/>
      <c r="V27" s="285"/>
      <c r="W27" s="285"/>
      <c r="X27" s="344">
        <f>RM_ByBatChem!AH36</f>
        <v>124.02870811145455</v>
      </c>
      <c r="Y27" s="344">
        <f>RM_ByBatChem!AI36</f>
        <v>134.9255360425432</v>
      </c>
      <c r="Z27" s="344">
        <f>RM_ByBatChem!AJ36</f>
        <v>133.89575607526666</v>
      </c>
      <c r="AA27" s="344">
        <f>RM_ByBatChem!AK36</f>
        <v>114.98695092802539</v>
      </c>
      <c r="AB27" s="344">
        <f>RM_ByBatChem!AL36</f>
        <v>128.77141269829221</v>
      </c>
      <c r="AC27" s="345">
        <f>RM_ByBatChem!AM36</f>
        <v>143.65121560461208</v>
      </c>
      <c r="AE27" s="195" t="s">
        <v>782</v>
      </c>
      <c r="AF27" s="285"/>
      <c r="AG27" s="285"/>
      <c r="AH27" s="285"/>
      <c r="AI27" s="344">
        <f>RM_ByBatChem!AH36</f>
        <v>124.02870811145455</v>
      </c>
      <c r="AJ27" s="344">
        <f>RM_ByBatChem!AI36</f>
        <v>134.9255360425432</v>
      </c>
      <c r="AK27" s="344">
        <f>RM_ByBatChem!AJ36</f>
        <v>133.89575607526666</v>
      </c>
      <c r="AL27" s="344">
        <f>RM_ByBatChem!AK36</f>
        <v>114.98695092802539</v>
      </c>
      <c r="AM27" s="344">
        <f>RM_ByBatChem!AL36</f>
        <v>128.77141269829221</v>
      </c>
      <c r="AN27" s="345">
        <f>RM_ByBatChem!AM36</f>
        <v>143.65121560461208</v>
      </c>
      <c r="AV27" s="155">
        <v>2035</v>
      </c>
      <c r="AW27" s="19">
        <f t="shared" si="4"/>
        <v>17.595598785636692</v>
      </c>
      <c r="AX27" s="19">
        <f t="shared" si="5"/>
        <v>0.51249316851368931</v>
      </c>
      <c r="AY27" s="19">
        <f t="shared" si="8"/>
        <v>118.4269763068597</v>
      </c>
      <c r="AZ27" s="8">
        <v>0.03</v>
      </c>
      <c r="BA27" s="351">
        <v>58</v>
      </c>
      <c r="BB27" s="351">
        <f t="shared" si="0"/>
        <v>1020.5447295669281</v>
      </c>
      <c r="BC27" s="5">
        <f t="shared" si="1"/>
        <v>7105270.3667713869</v>
      </c>
      <c r="BD27" s="5">
        <f t="shared" si="9"/>
        <v>47821940.908674762</v>
      </c>
      <c r="BE27" s="8">
        <f t="shared" si="2"/>
        <v>10.312438848724799</v>
      </c>
      <c r="BF27" s="8">
        <f t="shared" si="6"/>
        <v>0.363025858725322</v>
      </c>
      <c r="BG27" s="275">
        <f>N$30*BF$3</f>
        <v>4.8499815000000002</v>
      </c>
      <c r="BH27" s="352">
        <f t="shared" si="3"/>
        <v>34.460429831339439</v>
      </c>
    </row>
    <row r="28" spans="3:60" x14ac:dyDescent="0.35">
      <c r="C28" s="54" t="s">
        <v>799</v>
      </c>
      <c r="D28" s="197">
        <v>3.5</v>
      </c>
      <c r="E28" s="198">
        <f>D28/D$49</f>
        <v>4.6666666666666666E-4</v>
      </c>
      <c r="F28" s="197">
        <v>12</v>
      </c>
      <c r="G28" s="198">
        <f>F28/F$49</f>
        <v>5.6875834445927896E-4</v>
      </c>
      <c r="H28" s="199">
        <v>10</v>
      </c>
      <c r="I28" s="191">
        <v>19</v>
      </c>
      <c r="J28" s="177">
        <f t="shared" si="16"/>
        <v>2014</v>
      </c>
      <c r="K28" s="197">
        <v>0.25</v>
      </c>
      <c r="L28" s="200">
        <v>2022</v>
      </c>
      <c r="M28" s="198">
        <v>1E-3</v>
      </c>
      <c r="N28" s="170">
        <v>57.63</v>
      </c>
      <c r="O28" s="201">
        <v>45055</v>
      </c>
      <c r="P28" s="179">
        <f t="shared" ref="P28:P35" si="18">N28*H$7*K28</f>
        <v>14407.5</v>
      </c>
      <c r="Q28" s="234" t="s">
        <v>662</v>
      </c>
      <c r="T28" s="195" t="s">
        <v>783</v>
      </c>
      <c r="U28" s="131">
        <f>AA34</f>
        <v>8.3150000000000013</v>
      </c>
      <c r="V28" s="131" t="s">
        <v>807</v>
      </c>
      <c r="W28" s="285"/>
      <c r="X28" s="286">
        <f>RM_ByBatChem!AH40</f>
        <v>275</v>
      </c>
      <c r="Y28" s="286">
        <f>RM_ByBatChem!AI40</f>
        <v>243</v>
      </c>
      <c r="Z28" s="286">
        <f>RM_ByBatChem!AJ40</f>
        <v>160</v>
      </c>
      <c r="AA28" s="286">
        <f>RM_ByBatChem!AK40</f>
        <v>210</v>
      </c>
      <c r="AB28" s="286">
        <f>RM_ByBatChem!AL40</f>
        <v>269</v>
      </c>
      <c r="AC28" s="287">
        <f>RM_ByBatChem!AM40</f>
        <v>160</v>
      </c>
      <c r="AE28" s="195" t="s">
        <v>783</v>
      </c>
      <c r="AF28" s="285"/>
      <c r="AG28" s="285"/>
      <c r="AH28" s="285"/>
      <c r="AI28" s="286">
        <f t="shared" ref="AI28:AN28" si="19">X28</f>
        <v>275</v>
      </c>
      <c r="AJ28" s="286">
        <f t="shared" si="19"/>
        <v>243</v>
      </c>
      <c r="AK28" s="286">
        <f t="shared" si="19"/>
        <v>160</v>
      </c>
      <c r="AL28" s="286">
        <f t="shared" si="19"/>
        <v>210</v>
      </c>
      <c r="AM28" s="286">
        <f t="shared" si="19"/>
        <v>269</v>
      </c>
      <c r="AN28" s="287">
        <f t="shared" si="19"/>
        <v>160</v>
      </c>
      <c r="AV28" s="155">
        <v>2036</v>
      </c>
      <c r="AW28" s="19">
        <f t="shared" si="4"/>
        <v>18.123466749205793</v>
      </c>
      <c r="AX28" s="19">
        <f t="shared" si="5"/>
        <v>0.5278679635691006</v>
      </c>
      <c r="AY28" s="354">
        <f>SUM(AW14:AW28)</f>
        <v>136.55044305606549</v>
      </c>
      <c r="AZ28" s="8">
        <v>0.03</v>
      </c>
      <c r="BA28" s="351">
        <v>58</v>
      </c>
      <c r="BB28" s="351">
        <f t="shared" si="0"/>
        <v>1051.1610714539361</v>
      </c>
      <c r="BC28" s="5">
        <f t="shared" si="1"/>
        <v>7318428.4777745279</v>
      </c>
      <c r="BD28" s="356">
        <f t="shared" ref="BD28:BD34" si="20">SUM(BC14:BC28)</f>
        <v>55140369.386449292</v>
      </c>
      <c r="BE28" s="8">
        <f t="shared" si="2"/>
        <v>10.621812014186542</v>
      </c>
      <c r="BF28" s="8">
        <f t="shared" si="6"/>
        <v>0.41858150394134497</v>
      </c>
      <c r="BG28" s="275">
        <f>N$30*BF$3</f>
        <v>4.8499815000000002</v>
      </c>
      <c r="BH28" s="352">
        <f t="shared" si="3"/>
        <v>35.494242726279623</v>
      </c>
    </row>
    <row r="29" spans="3:60" ht="15" thickBot="1" x14ac:dyDescent="0.4">
      <c r="C29" s="54" t="s">
        <v>800</v>
      </c>
      <c r="D29" s="202">
        <v>0.02</v>
      </c>
      <c r="E29" s="203">
        <f>D29/D$49</f>
        <v>2.6666666666666668E-6</v>
      </c>
      <c r="F29" s="202">
        <v>2.8</v>
      </c>
      <c r="G29" s="203">
        <f>F29/F$49</f>
        <v>1.3271028037383176E-4</v>
      </c>
      <c r="H29" s="204">
        <f>Li!F36/H8</f>
        <v>24.855</v>
      </c>
      <c r="I29" s="205">
        <f>Li!H36/H8</f>
        <v>91.41</v>
      </c>
      <c r="J29" s="206" t="s">
        <v>569</v>
      </c>
      <c r="K29" s="202">
        <f>RawMaterialsBEV!F13/H8</f>
        <v>0.13</v>
      </c>
      <c r="L29" s="207">
        <f>RawMaterialsBEV!N13</f>
        <v>2022</v>
      </c>
      <c r="M29" s="203">
        <v>7.0000000000000001E-3</v>
      </c>
      <c r="N29" s="208">
        <f>N30*C8</f>
        <v>171.36601300000001</v>
      </c>
      <c r="O29" s="209">
        <f>O30</f>
        <v>45065</v>
      </c>
      <c r="P29" s="210">
        <f t="shared" si="18"/>
        <v>22277.581690000003</v>
      </c>
      <c r="Q29" s="235" t="str">
        <f>Q30</f>
        <v>China 79%</v>
      </c>
      <c r="T29" s="288" t="s">
        <v>784</v>
      </c>
      <c r="U29" s="289"/>
      <c r="V29" s="289"/>
      <c r="W29" s="289"/>
      <c r="X29" s="318" t="str">
        <f>RM_ByBatChem!AH42</f>
        <v>-</v>
      </c>
      <c r="Y29" s="318" t="str">
        <f>RM_ByBatChem!AI42</f>
        <v>-</v>
      </c>
      <c r="Z29" s="290">
        <f>RM_ByBatChem!AJ42</f>
        <v>350</v>
      </c>
      <c r="AA29" s="290">
        <f>RM_ByBatChem!AK42</f>
        <v>450</v>
      </c>
      <c r="AB29" s="290">
        <f>RM_ByBatChem!AL42</f>
        <v>750</v>
      </c>
      <c r="AC29" s="291">
        <f>RM_ByBatChem!AM42</f>
        <v>260</v>
      </c>
      <c r="AD29" s="4"/>
      <c r="AE29" s="288" t="s">
        <v>784</v>
      </c>
      <c r="AF29" s="320"/>
      <c r="AG29" s="320"/>
      <c r="AH29" s="320"/>
      <c r="AI29" s="318" t="str">
        <f t="shared" ref="AI29:AN29" si="21">X29</f>
        <v>-</v>
      </c>
      <c r="AJ29" s="318" t="str">
        <f t="shared" si="21"/>
        <v>-</v>
      </c>
      <c r="AK29" s="318">
        <f t="shared" si="21"/>
        <v>350</v>
      </c>
      <c r="AL29" s="318">
        <f t="shared" si="21"/>
        <v>450</v>
      </c>
      <c r="AM29" s="318">
        <f t="shared" si="21"/>
        <v>750</v>
      </c>
      <c r="AN29" s="319">
        <f t="shared" si="21"/>
        <v>260</v>
      </c>
      <c r="AV29" s="155">
        <v>2037</v>
      </c>
      <c r="AW29" s="19">
        <f t="shared" ref="AW29:AW34" si="22">AW28*(1+AZ29)</f>
        <v>18.667170751681969</v>
      </c>
      <c r="AX29" s="19">
        <f t="shared" ref="AX29:AX34" si="23">AW29-AW28</f>
        <v>0.54370400247617567</v>
      </c>
      <c r="AY29" s="354">
        <f t="shared" ref="AY29:AY34" si="24">SUM(AW15:AW29)</f>
        <v>154.67761380774746</v>
      </c>
      <c r="AZ29" s="8">
        <v>0.03</v>
      </c>
      <c r="BA29" s="351">
        <v>58</v>
      </c>
      <c r="BB29" s="351">
        <f t="shared" ref="BB29:BB34" si="25">AW29*BA29</f>
        <v>1082.6959035975542</v>
      </c>
      <c r="BC29" s="5">
        <f t="shared" ref="BC29:BC34" si="26">AW29*BA$7</f>
        <v>7537981.3321077647</v>
      </c>
      <c r="BD29" s="356">
        <f t="shared" si="20"/>
        <v>62460293.575699918</v>
      </c>
      <c r="BE29" s="8">
        <f t="shared" ref="BE29:BE34" si="27">BC29/BA$8</f>
        <v>10.940466374612141</v>
      </c>
      <c r="BF29" s="8">
        <f t="shared" ref="BF29:BF34" si="28">BD29/BA$9</f>
        <v>0.47414850340047682</v>
      </c>
      <c r="BG29" s="275">
        <f t="shared" ref="BG29:BG34" si="29">N$30*BF$3</f>
        <v>4.8499815000000002</v>
      </c>
      <c r="BH29" s="352">
        <f t="shared" ref="BH29:BH34" si="30">(BC29*BG29*1000)/AW$2</f>
        <v>36.559070008068019</v>
      </c>
    </row>
    <row r="30" spans="3:60" ht="15" thickTop="1" x14ac:dyDescent="0.35">
      <c r="C30" s="54" t="s">
        <v>530</v>
      </c>
      <c r="D30" s="202">
        <f>D29*$C8</f>
        <v>0.106</v>
      </c>
      <c r="E30" s="203" t="s">
        <v>15</v>
      </c>
      <c r="F30" s="202">
        <f>F29*$C8</f>
        <v>14.839999999999998</v>
      </c>
      <c r="G30" s="203" t="s">
        <v>15</v>
      </c>
      <c r="H30" s="204">
        <f>H29*$C8</f>
        <v>131.73150000000001</v>
      </c>
      <c r="I30" s="202">
        <f>I29*$C8</f>
        <v>484.47299999999996</v>
      </c>
      <c r="J30" s="206" t="str">
        <f>J29</f>
        <v>2020/2020</v>
      </c>
      <c r="K30" s="202">
        <f>K29*$C8</f>
        <v>0.68899999999999995</v>
      </c>
      <c r="L30" s="207">
        <f>L29</f>
        <v>2022</v>
      </c>
      <c r="M30" s="203"/>
      <c r="N30" s="208">
        <f>CostOfRawMaterialsBEV!D13</f>
        <v>32.333210000000001</v>
      </c>
      <c r="O30" s="209">
        <f>CostOfRawMaterialsBEV!F13</f>
        <v>45065</v>
      </c>
      <c r="P30" s="210">
        <f t="shared" si="18"/>
        <v>22277.581689999999</v>
      </c>
      <c r="Q30" s="234" t="s">
        <v>655</v>
      </c>
      <c r="T30" s="119" t="s">
        <v>463</v>
      </c>
      <c r="U30" s="332"/>
      <c r="V30" s="332"/>
      <c r="W30" s="332"/>
      <c r="X30" s="333"/>
      <c r="Y30" s="333"/>
      <c r="Z30" s="333"/>
      <c r="AA30" s="333"/>
      <c r="AB30" s="333"/>
      <c r="AC30" s="333"/>
      <c r="AE30" s="119" t="s">
        <v>463</v>
      </c>
      <c r="AF30" s="332"/>
      <c r="AG30" s="332"/>
      <c r="AH30" s="332"/>
      <c r="AI30" s="333"/>
      <c r="AJ30" s="333"/>
      <c r="AK30" s="333"/>
      <c r="AL30" s="333"/>
      <c r="AM30" s="333"/>
      <c r="AN30" s="333"/>
      <c r="AV30" s="155">
        <v>2038</v>
      </c>
      <c r="AW30" s="19">
        <f t="shared" si="22"/>
        <v>19.227185874232429</v>
      </c>
      <c r="AX30" s="19">
        <f t="shared" si="23"/>
        <v>0.56001512255046038</v>
      </c>
      <c r="AY30" s="354">
        <f t="shared" si="24"/>
        <v>173.09479968197988</v>
      </c>
      <c r="AZ30" s="8">
        <v>0.03</v>
      </c>
      <c r="BA30" s="351">
        <v>58</v>
      </c>
      <c r="BB30" s="351">
        <f t="shared" si="25"/>
        <v>1115.176780705481</v>
      </c>
      <c r="BC30" s="5">
        <f t="shared" si="26"/>
        <v>7764120.7720709983</v>
      </c>
      <c r="BD30" s="356">
        <f t="shared" si="20"/>
        <v>69897328.633485198</v>
      </c>
      <c r="BE30" s="8">
        <f t="shared" si="27"/>
        <v>11.268680365850505</v>
      </c>
      <c r="BF30" s="8">
        <f t="shared" si="28"/>
        <v>0.53060451474009773</v>
      </c>
      <c r="BG30" s="275">
        <f t="shared" si="29"/>
        <v>4.8499815000000002</v>
      </c>
      <c r="BH30" s="352">
        <f t="shared" si="30"/>
        <v>37.655842108310061</v>
      </c>
    </row>
    <row r="31" spans="3:60" x14ac:dyDescent="0.35">
      <c r="C31" s="54" t="s">
        <v>566</v>
      </c>
      <c r="D31" s="202" t="s">
        <v>15</v>
      </c>
      <c r="E31" s="203" t="s">
        <v>15</v>
      </c>
      <c r="F31" s="202" t="s">
        <v>15</v>
      </c>
      <c r="G31" s="203" t="s">
        <v>15</v>
      </c>
      <c r="H31" s="204" t="s">
        <v>15</v>
      </c>
      <c r="I31" s="205" t="s">
        <v>15</v>
      </c>
      <c r="J31" s="206" t="s">
        <v>15</v>
      </c>
      <c r="K31" s="202">
        <f>K29*(1/$M29)</f>
        <v>18.571428571428573</v>
      </c>
      <c r="L31" s="207" t="s">
        <v>15</v>
      </c>
      <c r="M31" s="203" t="s">
        <v>15</v>
      </c>
      <c r="N31" s="208">
        <f>P$9</f>
        <v>0.12</v>
      </c>
      <c r="O31" s="209" t="s">
        <v>15</v>
      </c>
      <c r="P31" s="210">
        <f t="shared" si="18"/>
        <v>2228.5714285714289</v>
      </c>
      <c r="Q31" s="159" t="s">
        <v>664</v>
      </c>
      <c r="T31" s="4"/>
      <c r="X31" s="283"/>
      <c r="Y31" s="283"/>
      <c r="Z31" s="283"/>
      <c r="AA31" s="283"/>
      <c r="AB31" s="283"/>
      <c r="AC31" s="283"/>
      <c r="AV31" s="155">
        <v>2039</v>
      </c>
      <c r="AW31" s="19">
        <f t="shared" si="22"/>
        <v>19.804001450459403</v>
      </c>
      <c r="AX31" s="19">
        <f t="shared" si="23"/>
        <v>0.57681557622697355</v>
      </c>
      <c r="AY31" s="354">
        <f t="shared" si="24"/>
        <v>191.68380113243927</v>
      </c>
      <c r="AZ31" s="8">
        <v>0.03</v>
      </c>
      <c r="BA31" s="351">
        <v>58</v>
      </c>
      <c r="BB31" s="351">
        <f t="shared" si="25"/>
        <v>1148.6320841266454</v>
      </c>
      <c r="BC31" s="5">
        <f t="shared" si="26"/>
        <v>7997044.3952331282</v>
      </c>
      <c r="BD31" s="356">
        <f t="shared" si="20"/>
        <v>77403744.457289755</v>
      </c>
      <c r="BE31" s="8">
        <f t="shared" si="27"/>
        <v>11.606740776826021</v>
      </c>
      <c r="BF31" s="8">
        <f t="shared" si="28"/>
        <v>0.5875872092649802</v>
      </c>
      <c r="BG31" s="275">
        <f t="shared" si="29"/>
        <v>4.8499815000000002</v>
      </c>
      <c r="BH31" s="352">
        <f t="shared" si="30"/>
        <v>38.785517371559358</v>
      </c>
    </row>
    <row r="32" spans="3:60" x14ac:dyDescent="0.35">
      <c r="C32" s="54" t="s">
        <v>791</v>
      </c>
      <c r="D32" s="191" t="s">
        <v>576</v>
      </c>
      <c r="E32" s="191" t="s">
        <v>576</v>
      </c>
      <c r="F32" s="191" t="s">
        <v>576</v>
      </c>
      <c r="G32" s="191" t="s">
        <v>576</v>
      </c>
      <c r="H32" s="199">
        <v>25000</v>
      </c>
      <c r="I32" s="191" t="s">
        <v>15</v>
      </c>
      <c r="J32" s="177">
        <v>2022</v>
      </c>
      <c r="K32" s="197">
        <v>58</v>
      </c>
      <c r="L32" s="200">
        <v>2022</v>
      </c>
      <c r="M32" s="198" t="s">
        <v>15</v>
      </c>
      <c r="N32" s="170">
        <f>CostOfRawMaterialsBEV!D15</f>
        <v>0.35673124</v>
      </c>
      <c r="O32" s="201">
        <f>CostOfRawMaterialsBEV!F15</f>
        <v>45062</v>
      </c>
      <c r="P32" s="179">
        <f t="shared" si="18"/>
        <v>20690.411920000002</v>
      </c>
      <c r="Q32" s="21" t="s">
        <v>564</v>
      </c>
      <c r="R32" t="s">
        <v>821</v>
      </c>
      <c r="T32" s="4"/>
      <c r="W32" s="299"/>
      <c r="X32" s="275"/>
      <c r="Y32">
        <v>60</v>
      </c>
      <c r="Z32" t="s">
        <v>314</v>
      </c>
      <c r="AA32" t="s">
        <v>727</v>
      </c>
      <c r="AB32" s="275"/>
      <c r="AC32" s="275"/>
      <c r="AE32" s="4"/>
      <c r="AG32" s="299"/>
      <c r="AH32" s="299"/>
      <c r="AI32" s="275"/>
      <c r="AJ32">
        <v>60</v>
      </c>
      <c r="AK32" t="s">
        <v>314</v>
      </c>
      <c r="AL32" t="s">
        <v>727</v>
      </c>
      <c r="AM32" s="275"/>
      <c r="AN32" s="275"/>
      <c r="AV32" s="155">
        <v>2040</v>
      </c>
      <c r="AW32" s="19">
        <f t="shared" si="22"/>
        <v>20.398121493973186</v>
      </c>
      <c r="AX32" s="19">
        <f t="shared" si="23"/>
        <v>0.594120043513783</v>
      </c>
      <c r="AY32" s="354">
        <f t="shared" si="24"/>
        <v>210.25942262641246</v>
      </c>
      <c r="AZ32" s="8">
        <v>0.03</v>
      </c>
      <c r="BA32" s="351">
        <v>58</v>
      </c>
      <c r="BB32" s="351">
        <f t="shared" si="25"/>
        <v>1183.0910466504447</v>
      </c>
      <c r="BC32" s="5">
        <f t="shared" si="26"/>
        <v>8236955.7270901231</v>
      </c>
      <c r="BD32" s="356">
        <f t="shared" si="20"/>
        <v>84904757.327237025</v>
      </c>
      <c r="BE32" s="8">
        <f t="shared" si="27"/>
        <v>11.954943000130802</v>
      </c>
      <c r="BF32" s="8">
        <f t="shared" si="28"/>
        <v>0.64452888889321847</v>
      </c>
      <c r="BG32" s="275">
        <f t="shared" si="29"/>
        <v>4.8499815000000002</v>
      </c>
      <c r="BH32" s="352">
        <f t="shared" si="30"/>
        <v>39.949082892706144</v>
      </c>
    </row>
    <row r="33" spans="3:60" x14ac:dyDescent="0.35">
      <c r="C33" s="54" t="s">
        <v>499</v>
      </c>
      <c r="D33" s="202">
        <v>50</v>
      </c>
      <c r="E33" s="203">
        <f>D33/D$49</f>
        <v>6.6666666666666671E-3</v>
      </c>
      <c r="F33" s="202">
        <v>44</v>
      </c>
      <c r="G33" s="203">
        <f>F33/F$49</f>
        <v>2.0854472630173564E-3</v>
      </c>
      <c r="H33" s="204">
        <f>Co!F24/H8</f>
        <v>8.3450000000000006</v>
      </c>
      <c r="I33" s="205">
        <v>13</v>
      </c>
      <c r="J33" s="206" t="s">
        <v>535</v>
      </c>
      <c r="K33" s="202">
        <f>Co!D24/H8</f>
        <v>0.19</v>
      </c>
      <c r="L33" s="207">
        <f>Co!I11</f>
        <v>2022</v>
      </c>
      <c r="M33" s="203">
        <v>2E-3</v>
      </c>
      <c r="N33" s="208">
        <f>CostOfRawMaterialsBEV!D20</f>
        <v>34.93</v>
      </c>
      <c r="O33" s="209">
        <f>CostOfRawMaterialsBEV!F20</f>
        <v>45055</v>
      </c>
      <c r="P33" s="210">
        <f t="shared" si="18"/>
        <v>6636.7</v>
      </c>
      <c r="Q33" s="159" t="str">
        <f>Q34</f>
        <v>DRCon.68%</v>
      </c>
      <c r="T33" s="4" t="s">
        <v>849</v>
      </c>
      <c r="W33">
        <v>1000</v>
      </c>
      <c r="Y33">
        <v>83.15</v>
      </c>
      <c r="Z33" t="s">
        <v>314</v>
      </c>
      <c r="AA33" t="s">
        <v>726</v>
      </c>
      <c r="AJ33">
        <v>83.15</v>
      </c>
      <c r="AK33" t="s">
        <v>314</v>
      </c>
      <c r="AL33" t="s">
        <v>726</v>
      </c>
      <c r="AV33" s="155">
        <v>2041</v>
      </c>
      <c r="AW33" s="19">
        <f t="shared" si="22"/>
        <v>21.010065138792381</v>
      </c>
      <c r="AX33" s="19">
        <f t="shared" si="23"/>
        <v>0.6119436448191955</v>
      </c>
      <c r="AY33" s="354">
        <f t="shared" si="24"/>
        <v>228.53573776520483</v>
      </c>
      <c r="AZ33" s="8">
        <v>0.03</v>
      </c>
      <c r="BA33" s="351">
        <v>58</v>
      </c>
      <c r="BB33" s="351">
        <f t="shared" si="25"/>
        <v>1218.583778049958</v>
      </c>
      <c r="BC33" s="5">
        <f t="shared" si="26"/>
        <v>8484064.398902826</v>
      </c>
      <c r="BD33" s="356">
        <f t="shared" si="20"/>
        <v>92284907.440425545</v>
      </c>
      <c r="BE33" s="8">
        <f t="shared" si="27"/>
        <v>12.313591290134726</v>
      </c>
      <c r="BF33" s="8">
        <f t="shared" si="28"/>
        <v>0.70055307531171762</v>
      </c>
      <c r="BG33" s="275">
        <f t="shared" si="29"/>
        <v>4.8499815000000002</v>
      </c>
      <c r="BH33" s="352">
        <f t="shared" si="30"/>
        <v>41.147555379487329</v>
      </c>
    </row>
    <row r="34" spans="3:60" ht="15" thickBot="1" x14ac:dyDescent="0.4">
      <c r="C34" s="54" t="s">
        <v>571</v>
      </c>
      <c r="D34" s="202" t="s">
        <v>15</v>
      </c>
      <c r="E34" s="203" t="s">
        <v>15</v>
      </c>
      <c r="F34" s="202" t="s">
        <v>15</v>
      </c>
      <c r="G34" s="203" t="s">
        <v>15</v>
      </c>
      <c r="H34" s="204" t="s">
        <v>15</v>
      </c>
      <c r="I34" s="205" t="s">
        <v>15</v>
      </c>
      <c r="J34" s="206" t="s">
        <v>15</v>
      </c>
      <c r="K34" s="202">
        <f>K33*(1/$M33)</f>
        <v>95</v>
      </c>
      <c r="L34" s="207" t="s">
        <v>15</v>
      </c>
      <c r="M34" s="203" t="s">
        <v>15</v>
      </c>
      <c r="N34" s="208">
        <f>P10</f>
        <v>0.05</v>
      </c>
      <c r="O34" s="209" t="s">
        <v>15</v>
      </c>
      <c r="P34" s="210">
        <f t="shared" si="18"/>
        <v>4750</v>
      </c>
      <c r="Q34" s="159" t="s">
        <v>665</v>
      </c>
      <c r="Y34" s="32">
        <f>Y33/Y32</f>
        <v>1.3858333333333335</v>
      </c>
      <c r="Z34" t="s">
        <v>802</v>
      </c>
      <c r="AA34">
        <f>Y33*Y35/1000000000</f>
        <v>8.3150000000000013</v>
      </c>
      <c r="AB34" t="s">
        <v>807</v>
      </c>
      <c r="AJ34" s="32">
        <f>AJ33/AJ32</f>
        <v>1.3858333333333335</v>
      </c>
      <c r="AK34" t="s">
        <v>802</v>
      </c>
      <c r="AL34">
        <f>AJ33*AJ35/1000000000</f>
        <v>8.315E-8</v>
      </c>
      <c r="AM34" t="s">
        <v>807</v>
      </c>
      <c r="AV34" s="358">
        <v>2042</v>
      </c>
      <c r="AW34" s="359">
        <f t="shared" si="22"/>
        <v>21.640367092956154</v>
      </c>
      <c r="AX34" s="359">
        <f t="shared" si="23"/>
        <v>0.6303019541637731</v>
      </c>
      <c r="AY34" s="23">
        <f t="shared" si="24"/>
        <v>246.075479858161</v>
      </c>
      <c r="AZ34" s="341">
        <v>0.03</v>
      </c>
      <c r="BA34" s="360">
        <v>58</v>
      </c>
      <c r="BB34" s="360">
        <f t="shared" si="25"/>
        <v>1255.1412913914569</v>
      </c>
      <c r="BC34" s="361">
        <f t="shared" si="26"/>
        <v>8738586.3308699112</v>
      </c>
      <c r="BD34" s="361">
        <f t="shared" si="20"/>
        <v>99367622.342724055</v>
      </c>
      <c r="BE34" s="341">
        <f t="shared" si="27"/>
        <v>12.682999028838768</v>
      </c>
      <c r="BF34" s="341">
        <f t="shared" si="28"/>
        <v>0.75431937192489307</v>
      </c>
      <c r="BG34" s="362">
        <f t="shared" si="29"/>
        <v>4.8499815000000002</v>
      </c>
      <c r="BH34" s="363">
        <f t="shared" si="30"/>
        <v>42.381982040871947</v>
      </c>
    </row>
    <row r="35" spans="3:60" ht="15" thickTop="1" x14ac:dyDescent="0.35">
      <c r="C35" s="54" t="s">
        <v>500</v>
      </c>
      <c r="D35" s="197">
        <v>0.67</v>
      </c>
      <c r="E35" s="198">
        <f t="shared" ref="E35:E43" si="31">D35/D$49</f>
        <v>8.9333333333333341E-5</v>
      </c>
      <c r="F35" s="197">
        <v>1.3</v>
      </c>
      <c r="G35" s="198">
        <f t="shared" ref="G35:G43" si="32">F35/F$49</f>
        <v>6.1615487316421901E-5</v>
      </c>
      <c r="H35" s="199">
        <v>3.1</v>
      </c>
      <c r="I35" s="191">
        <v>6.3</v>
      </c>
      <c r="J35" s="177">
        <f t="shared" si="16"/>
        <v>2014</v>
      </c>
      <c r="K35" s="191">
        <v>8.4000000000000005E-2</v>
      </c>
      <c r="L35" s="177">
        <v>2022</v>
      </c>
      <c r="M35" s="177" t="s">
        <v>15</v>
      </c>
      <c r="N35" s="183">
        <v>45</v>
      </c>
      <c r="O35" s="227">
        <v>45057</v>
      </c>
      <c r="P35" s="179">
        <f t="shared" si="18"/>
        <v>3780.0000000000005</v>
      </c>
      <c r="Q35" s="234" t="s">
        <v>654</v>
      </c>
      <c r="Y35" s="32">
        <v>100000000</v>
      </c>
      <c r="Z35" t="s">
        <v>804</v>
      </c>
      <c r="AJ35" s="32">
        <v>1</v>
      </c>
      <c r="AK35" t="s">
        <v>804</v>
      </c>
      <c r="AV35" s="119" t="s">
        <v>463</v>
      </c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</row>
    <row r="36" spans="3:60" x14ac:dyDescent="0.35">
      <c r="C36" s="54" t="s">
        <v>501</v>
      </c>
      <c r="D36" s="197">
        <v>0.4</v>
      </c>
      <c r="E36" s="198">
        <f t="shared" si="31"/>
        <v>5.3333333333333333E-5</v>
      </c>
      <c r="F36" s="197">
        <v>0.46</v>
      </c>
      <c r="G36" s="198">
        <f t="shared" si="32"/>
        <v>2.1802403204272364E-5</v>
      </c>
      <c r="H36" s="199">
        <v>3</v>
      </c>
      <c r="I36" s="191">
        <v>3</v>
      </c>
      <c r="J36" s="177">
        <f t="shared" si="16"/>
        <v>2014</v>
      </c>
      <c r="K36" s="191" t="s">
        <v>15</v>
      </c>
      <c r="L36" s="177" t="s">
        <v>15</v>
      </c>
      <c r="M36" s="177" t="s">
        <v>15</v>
      </c>
      <c r="N36" s="183" t="s">
        <v>15</v>
      </c>
      <c r="O36" s="177" t="s">
        <v>15</v>
      </c>
      <c r="P36" s="177" t="s">
        <v>15</v>
      </c>
      <c r="Q36" s="212" t="s">
        <v>15</v>
      </c>
      <c r="Y36" s="32">
        <f>Y34*Y35</f>
        <v>138583333.33333334</v>
      </c>
      <c r="Z36" t="s">
        <v>803</v>
      </c>
      <c r="AJ36" s="32">
        <f>AJ34*AJ35</f>
        <v>1.3858333333333335</v>
      </c>
      <c r="AK36" t="s">
        <v>803</v>
      </c>
    </row>
    <row r="37" spans="3:60" x14ac:dyDescent="0.35">
      <c r="C37" s="54" t="s">
        <v>502</v>
      </c>
      <c r="D37" s="197">
        <v>2.9</v>
      </c>
      <c r="E37" s="198">
        <f t="shared" si="31"/>
        <v>3.8666666666666667E-4</v>
      </c>
      <c r="F37" s="197">
        <v>1.4</v>
      </c>
      <c r="G37" s="198">
        <f t="shared" si="32"/>
        <v>6.6355140186915879E-5</v>
      </c>
      <c r="H37" s="199">
        <v>1</v>
      </c>
      <c r="I37" s="191">
        <v>1.6</v>
      </c>
      <c r="J37" s="177">
        <f t="shared" si="16"/>
        <v>2014</v>
      </c>
      <c r="K37" s="191" t="s">
        <v>15</v>
      </c>
      <c r="L37" s="177" t="s">
        <v>15</v>
      </c>
      <c r="M37" s="177" t="s">
        <v>15</v>
      </c>
      <c r="N37" s="183" t="s">
        <v>15</v>
      </c>
      <c r="O37" s="177" t="s">
        <v>15</v>
      </c>
      <c r="P37" s="177" t="s">
        <v>15</v>
      </c>
      <c r="Q37" s="212" t="s">
        <v>15</v>
      </c>
      <c r="Y37" s="5">
        <v>1000000000</v>
      </c>
      <c r="Z37" t="s">
        <v>806</v>
      </c>
      <c r="AJ37" s="5">
        <v>1000000000</v>
      </c>
      <c r="AK37" t="s">
        <v>806</v>
      </c>
      <c r="AV37" t="s">
        <v>911</v>
      </c>
    </row>
    <row r="38" spans="3:60" ht="15" thickBot="1" x14ac:dyDescent="0.4">
      <c r="C38" s="54" t="s">
        <v>503</v>
      </c>
      <c r="D38" s="197">
        <v>0.09</v>
      </c>
      <c r="E38" s="198">
        <f t="shared" si="31"/>
        <v>1.2E-5</v>
      </c>
      <c r="F38" s="197">
        <v>0.32</v>
      </c>
      <c r="G38" s="198">
        <f t="shared" si="32"/>
        <v>1.5166889185580774E-5</v>
      </c>
      <c r="H38" s="199">
        <v>1.2</v>
      </c>
      <c r="I38" s="191">
        <v>1.2</v>
      </c>
      <c r="J38" s="177">
        <f t="shared" si="16"/>
        <v>2014</v>
      </c>
      <c r="K38" s="191" t="s">
        <v>15</v>
      </c>
      <c r="L38" s="177" t="s">
        <v>15</v>
      </c>
      <c r="M38" s="177" t="s">
        <v>15</v>
      </c>
      <c r="N38" s="183" t="s">
        <v>15</v>
      </c>
      <c r="O38" s="177" t="s">
        <v>15</v>
      </c>
      <c r="P38" s="177" t="s">
        <v>15</v>
      </c>
      <c r="Q38" s="212" t="s">
        <v>15</v>
      </c>
      <c r="T38" s="300" t="s">
        <v>805</v>
      </c>
      <c r="AE38" s="300" t="s">
        <v>805</v>
      </c>
      <c r="AV38" t="s">
        <v>916</v>
      </c>
      <c r="AZ38" s="9" t="s">
        <v>912</v>
      </c>
      <c r="BA38" t="s">
        <v>913</v>
      </c>
    </row>
    <row r="39" spans="3:60" ht="15" thickTop="1" x14ac:dyDescent="0.35">
      <c r="C39" s="54" t="s">
        <v>504</v>
      </c>
      <c r="D39" s="197">
        <v>0.32</v>
      </c>
      <c r="E39" s="198">
        <f t="shared" si="31"/>
        <v>4.2666666666666669E-5</v>
      </c>
      <c r="F39" s="197">
        <v>0.18</v>
      </c>
      <c r="G39" s="198">
        <f t="shared" si="32"/>
        <v>8.5313751668891848E-6</v>
      </c>
      <c r="H39" s="199">
        <v>0.3</v>
      </c>
      <c r="I39" s="191">
        <v>0.7</v>
      </c>
      <c r="J39" s="177">
        <f t="shared" si="16"/>
        <v>2014</v>
      </c>
      <c r="K39" s="191" t="s">
        <v>15</v>
      </c>
      <c r="L39" s="177" t="s">
        <v>15</v>
      </c>
      <c r="M39" s="177" t="s">
        <v>15</v>
      </c>
      <c r="N39" s="183" t="s">
        <v>15</v>
      </c>
      <c r="O39" s="177" t="s">
        <v>15</v>
      </c>
      <c r="P39" s="177" t="s">
        <v>15</v>
      </c>
      <c r="Q39" s="212" t="s">
        <v>15</v>
      </c>
      <c r="T39" s="53" t="s">
        <v>702</v>
      </c>
      <c r="U39" s="276"/>
      <c r="V39" s="276"/>
      <c r="W39" s="276"/>
      <c r="X39" s="43" t="s">
        <v>776</v>
      </c>
      <c r="Y39" s="43" t="s">
        <v>777</v>
      </c>
      <c r="Z39" s="43" t="s">
        <v>778</v>
      </c>
      <c r="AA39" s="43" t="s">
        <v>779</v>
      </c>
      <c r="AB39" s="43" t="s">
        <v>780</v>
      </c>
      <c r="AC39" s="44" t="s">
        <v>787</v>
      </c>
      <c r="AE39" s="53" t="s">
        <v>702</v>
      </c>
      <c r="AF39" s="276"/>
      <c r="AG39" s="276"/>
      <c r="AH39" s="276"/>
      <c r="AI39" s="43" t="s">
        <v>776</v>
      </c>
      <c r="AJ39" s="43" t="s">
        <v>777</v>
      </c>
      <c r="AK39" s="43" t="s">
        <v>778</v>
      </c>
      <c r="AL39" s="43" t="s">
        <v>779</v>
      </c>
      <c r="AM39" s="43" t="s">
        <v>780</v>
      </c>
      <c r="AN39" s="44" t="s">
        <v>787</v>
      </c>
    </row>
    <row r="40" spans="3:60" x14ac:dyDescent="0.35">
      <c r="C40" s="54" t="s">
        <v>505</v>
      </c>
      <c r="D40" s="197">
        <v>1.7</v>
      </c>
      <c r="E40" s="198">
        <f t="shared" si="31"/>
        <v>2.2666666666666666E-4</v>
      </c>
      <c r="F40" s="197">
        <v>2</v>
      </c>
      <c r="G40" s="198">
        <f t="shared" si="32"/>
        <v>9.4793057409879841E-5</v>
      </c>
      <c r="H40" s="199">
        <v>0.5</v>
      </c>
      <c r="I40" s="191">
        <v>0.5</v>
      </c>
      <c r="J40" s="177">
        <f t="shared" si="16"/>
        <v>2014</v>
      </c>
      <c r="K40" s="191" t="s">
        <v>15</v>
      </c>
      <c r="L40" s="177" t="s">
        <v>15</v>
      </c>
      <c r="M40" s="177" t="s">
        <v>15</v>
      </c>
      <c r="N40" s="183" t="s">
        <v>15</v>
      </c>
      <c r="O40" s="177" t="s">
        <v>15</v>
      </c>
      <c r="P40" s="177" t="s">
        <v>15</v>
      </c>
      <c r="Q40" s="212" t="s">
        <v>15</v>
      </c>
      <c r="T40" s="54" t="s">
        <v>790</v>
      </c>
      <c r="U40" s="277"/>
      <c r="V40" s="277"/>
      <c r="W40" s="277"/>
      <c r="X40" s="131" t="s">
        <v>279</v>
      </c>
      <c r="Y40" s="131" t="s">
        <v>283</v>
      </c>
      <c r="Z40" s="131" t="s">
        <v>275</v>
      </c>
      <c r="AA40" s="131" t="s">
        <v>684</v>
      </c>
      <c r="AB40" s="131" t="s">
        <v>704</v>
      </c>
      <c r="AC40" s="196" t="s">
        <v>425</v>
      </c>
      <c r="AE40" s="54" t="s">
        <v>790</v>
      </c>
      <c r="AF40" s="277"/>
      <c r="AG40" s="277"/>
      <c r="AH40" s="277"/>
      <c r="AI40" s="131" t="s">
        <v>279</v>
      </c>
      <c r="AJ40" s="131" t="s">
        <v>283</v>
      </c>
      <c r="AK40" s="131" t="s">
        <v>275</v>
      </c>
      <c r="AL40" s="131" t="s">
        <v>684</v>
      </c>
      <c r="AM40" s="131" t="s">
        <v>704</v>
      </c>
      <c r="AN40" s="196" t="s">
        <v>425</v>
      </c>
    </row>
    <row r="41" spans="3:60" x14ac:dyDescent="0.35">
      <c r="C41" s="54" t="s">
        <v>506</v>
      </c>
      <c r="D41" s="197">
        <v>4.0000000000000001E-3</v>
      </c>
      <c r="E41" s="198">
        <f t="shared" si="31"/>
        <v>5.3333333333333334E-7</v>
      </c>
      <c r="F41" s="197">
        <v>3.0000000000000001E-3</v>
      </c>
      <c r="G41" s="198">
        <f t="shared" si="32"/>
        <v>1.4218958611481975E-7</v>
      </c>
      <c r="H41" s="199">
        <v>7.0000000000000007E-2</v>
      </c>
      <c r="I41" s="191">
        <v>0.08</v>
      </c>
      <c r="J41" s="177">
        <f t="shared" si="16"/>
        <v>2014</v>
      </c>
      <c r="K41" s="191">
        <v>1.9000000000000001E-4</v>
      </c>
      <c r="L41" s="177">
        <v>2022</v>
      </c>
      <c r="M41" s="198">
        <v>1.0000000000000001E-5</v>
      </c>
      <c r="N41" s="183">
        <f>AB85</f>
        <v>39037.693690065003</v>
      </c>
      <c r="O41" s="227">
        <f>X85</f>
        <v>45056</v>
      </c>
      <c r="P41" s="179">
        <f>N41*H$7*K41</f>
        <v>7417.161801112351</v>
      </c>
      <c r="Q41" s="228" t="s">
        <v>659</v>
      </c>
      <c r="T41" s="54"/>
      <c r="U41" s="277"/>
      <c r="V41" s="277"/>
      <c r="W41" s="277"/>
      <c r="X41" s="131" t="s">
        <v>281</v>
      </c>
      <c r="Y41" s="131" t="s">
        <v>284</v>
      </c>
      <c r="Z41" s="131" t="s">
        <v>276</v>
      </c>
      <c r="AA41" s="131" t="s">
        <v>690</v>
      </c>
      <c r="AB41" s="131" t="s">
        <v>705</v>
      </c>
      <c r="AC41" s="196" t="s">
        <v>733</v>
      </c>
      <c r="AE41" s="54"/>
      <c r="AF41" s="277"/>
      <c r="AG41" s="277"/>
      <c r="AH41" s="277"/>
      <c r="AI41" s="131" t="s">
        <v>281</v>
      </c>
      <c r="AJ41" s="131" t="s">
        <v>284</v>
      </c>
      <c r="AK41" s="131" t="s">
        <v>276</v>
      </c>
      <c r="AL41" s="131" t="s">
        <v>690</v>
      </c>
      <c r="AM41" s="131" t="s">
        <v>705</v>
      </c>
      <c r="AN41" s="196" t="s">
        <v>733</v>
      </c>
    </row>
    <row r="42" spans="3:60" x14ac:dyDescent="0.35">
      <c r="C42" s="54" t="s">
        <v>507</v>
      </c>
      <c r="D42" s="202">
        <v>0.45</v>
      </c>
      <c r="E42" s="203">
        <f t="shared" si="31"/>
        <v>6.0000000000000002E-5</v>
      </c>
      <c r="F42" s="202">
        <v>0.08</v>
      </c>
      <c r="G42" s="203">
        <f t="shared" si="32"/>
        <v>3.7917222963951934E-6</v>
      </c>
      <c r="H42" s="204">
        <v>0.02</v>
      </c>
      <c r="I42" s="205">
        <v>0.05</v>
      </c>
      <c r="J42" s="206">
        <f t="shared" si="16"/>
        <v>2014</v>
      </c>
      <c r="K42" s="205">
        <v>2.8299999999999999E-4</v>
      </c>
      <c r="L42" s="206" t="s">
        <v>15</v>
      </c>
      <c r="M42" s="206" t="s">
        <v>15</v>
      </c>
      <c r="N42" s="232">
        <f>T86*Y86</f>
        <v>85.2744</v>
      </c>
      <c r="O42" s="233">
        <f>AA86</f>
        <v>45056</v>
      </c>
      <c r="P42" s="210">
        <f>N42*H$7*K42</f>
        <v>24.132655199999999</v>
      </c>
      <c r="Q42" s="234" t="s">
        <v>658</v>
      </c>
      <c r="T42" s="54"/>
      <c r="U42" s="277" t="s">
        <v>802</v>
      </c>
      <c r="V42" s="277"/>
      <c r="W42" s="277"/>
      <c r="X42" s="131" t="s">
        <v>282</v>
      </c>
      <c r="Y42" s="131" t="s">
        <v>285</v>
      </c>
      <c r="Z42" s="131" t="s">
        <v>454</v>
      </c>
      <c r="AA42" s="131" t="s">
        <v>682</v>
      </c>
      <c r="AB42" s="131" t="s">
        <v>706</v>
      </c>
      <c r="AC42" s="196"/>
      <c r="AE42" s="54"/>
      <c r="AF42" s="277" t="s">
        <v>802</v>
      </c>
      <c r="AG42" s="277"/>
      <c r="AH42" s="277"/>
      <c r="AI42" s="131" t="s">
        <v>282</v>
      </c>
      <c r="AJ42" s="131" t="s">
        <v>285</v>
      </c>
      <c r="AK42" s="131" t="s">
        <v>454</v>
      </c>
      <c r="AL42" s="131" t="s">
        <v>682</v>
      </c>
      <c r="AM42" s="131" t="s">
        <v>706</v>
      </c>
      <c r="AN42" s="196"/>
    </row>
    <row r="43" spans="3:60" x14ac:dyDescent="0.35">
      <c r="C43" s="54" t="s">
        <v>508</v>
      </c>
      <c r="D43" s="197">
        <v>1.2</v>
      </c>
      <c r="E43" s="198">
        <f t="shared" si="31"/>
        <v>1.5999999999999999E-4</v>
      </c>
      <c r="F43" s="197">
        <v>4.2</v>
      </c>
      <c r="G43" s="198">
        <f t="shared" si="32"/>
        <v>1.9906542056074766E-4</v>
      </c>
      <c r="H43" s="199">
        <v>4.0000000000000002E-4</v>
      </c>
      <c r="I43" s="191">
        <v>6.9999999999999999E-4</v>
      </c>
      <c r="J43" s="177">
        <f t="shared" si="16"/>
        <v>2014</v>
      </c>
      <c r="K43" s="230">
        <v>1.0000000000000001E-5</v>
      </c>
      <c r="L43" s="177">
        <v>2022</v>
      </c>
      <c r="M43" s="177" t="s">
        <v>15</v>
      </c>
      <c r="N43" s="183" t="s">
        <v>15</v>
      </c>
      <c r="O43" s="177" t="s">
        <v>15</v>
      </c>
      <c r="P43" s="177" t="s">
        <v>15</v>
      </c>
      <c r="Q43" s="212" t="s">
        <v>15</v>
      </c>
      <c r="T43" s="155" t="s">
        <v>696</v>
      </c>
      <c r="U43" s="5">
        <f t="shared" ref="U43:U52" si="33">Y$36</f>
        <v>138583333.33333334</v>
      </c>
      <c r="V43" s="5"/>
      <c r="X43" s="5">
        <f>RM_ByBatChem!E24*$U43</f>
        <v>3672458333.3333335</v>
      </c>
      <c r="Y43" s="5">
        <f>RM_ByBatChem!H24*$U43</f>
        <v>5141441666.666667</v>
      </c>
      <c r="Z43" s="5">
        <f>RM_ByBatChem!Q24*$U43</f>
        <v>4406950000</v>
      </c>
      <c r="AA43" s="5">
        <f>RM_ByBatChem!T24*$U43</f>
        <v>3357676190.4761901</v>
      </c>
      <c r="AB43" s="5">
        <f>RM_ByBatChem!X24*$U43</f>
        <v>4423332713.7546473</v>
      </c>
      <c r="AC43" s="5">
        <f>RM_ByBatChem!AA24*$U43</f>
        <v>0</v>
      </c>
      <c r="AE43" s="155" t="s">
        <v>696</v>
      </c>
      <c r="AF43" s="32">
        <f t="shared" ref="AF43:AF52" si="34">AJ$36</f>
        <v>1.3858333333333335</v>
      </c>
      <c r="AI43" s="340">
        <f>RM_ByBatChem!E24*$AF43</f>
        <v>36.724583333333335</v>
      </c>
      <c r="AJ43" s="340">
        <f>RM_ByBatChem!H24*$AF43</f>
        <v>51.414416666666675</v>
      </c>
      <c r="AK43" s="340">
        <f>RM_ByBatChem!Q24*$AF43</f>
        <v>44.069499999999998</v>
      </c>
      <c r="AL43" s="340">
        <f>RM_ByBatChem!T24*$AF43</f>
        <v>33.576761904761902</v>
      </c>
      <c r="AM43" s="340">
        <f>RM_ByBatChem!X24*$AF43</f>
        <v>44.233327137546475</v>
      </c>
      <c r="AN43" s="340">
        <f>RM_ByBatChem!AA24*$AF43</f>
        <v>0</v>
      </c>
    </row>
    <row r="44" spans="3:60" x14ac:dyDescent="0.35">
      <c r="C44" s="54" t="s">
        <v>547</v>
      </c>
      <c r="D44" s="202">
        <f>D$49*E44</f>
        <v>1237.5</v>
      </c>
      <c r="E44" s="203">
        <v>0.16500000000000001</v>
      </c>
      <c r="F44" s="202">
        <f>F$49*G44</f>
        <v>1299.6732394366197</v>
      </c>
      <c r="G44" s="203">
        <v>6.1600000000000002E-2</v>
      </c>
      <c r="H44" s="204">
        <f>H45*M44</f>
        <v>99000.000000000015</v>
      </c>
      <c r="I44" s="205" t="s">
        <v>15</v>
      </c>
      <c r="J44" s="206">
        <v>2022</v>
      </c>
      <c r="K44" s="202">
        <f>RawMaterialsBEV!F21/H8</f>
        <v>1951</v>
      </c>
      <c r="L44" s="207">
        <f>RawMaterial!D32</f>
        <v>2021</v>
      </c>
      <c r="M44" s="203">
        <v>0.55000000000000004</v>
      </c>
      <c r="N44" s="208">
        <f>CostOfRawMaterialsBEV!D23</f>
        <v>0.52258994800000003</v>
      </c>
      <c r="O44" s="209">
        <f>CostOfRawMaterialsBEV!F23</f>
        <v>45055</v>
      </c>
      <c r="P44" s="210">
        <f>N44*H$7*K44</f>
        <v>1019572.9885480001</v>
      </c>
      <c r="Q44" s="159" t="s">
        <v>564</v>
      </c>
      <c r="T44" s="155" t="s">
        <v>693</v>
      </c>
      <c r="U44" s="5">
        <f t="shared" si="33"/>
        <v>138583333.33333334</v>
      </c>
      <c r="V44" s="5"/>
      <c r="X44" s="5">
        <f>RM_ByBatChem!E26*$U44</f>
        <v>0</v>
      </c>
      <c r="Y44" s="5">
        <f>RM_ByBatChem!H26*$U44</f>
        <v>0</v>
      </c>
      <c r="Z44" s="5">
        <f>RM_ByBatChem!Q26*$U44</f>
        <v>0</v>
      </c>
      <c r="AA44" s="5">
        <f>RM_ByBatChem!T26*$U44</f>
        <v>0</v>
      </c>
      <c r="AB44" s="5">
        <f>RM_ByBatChem!X26*$U44</f>
        <v>0</v>
      </c>
      <c r="AC44" s="5">
        <f>RM_ByBatChem!AA26*$U44</f>
        <v>3227259375</v>
      </c>
      <c r="AE44" s="155" t="s">
        <v>693</v>
      </c>
      <c r="AF44" s="32">
        <f t="shared" si="34"/>
        <v>1.3858333333333335</v>
      </c>
      <c r="AI44" s="340">
        <f>RM_ByBatChem!E26*$AF44</f>
        <v>0</v>
      </c>
      <c r="AJ44" s="340">
        <f>RM_ByBatChem!H26*$AF44</f>
        <v>0</v>
      </c>
      <c r="AK44" s="340">
        <f>RM_ByBatChem!Q26*$AF44</f>
        <v>0</v>
      </c>
      <c r="AL44" s="340">
        <f>RM_ByBatChem!T26*$AF44</f>
        <v>0</v>
      </c>
      <c r="AM44" s="340">
        <f>RM_ByBatChem!X26*$AF44</f>
        <v>0</v>
      </c>
      <c r="AN44" s="340">
        <f>RM_ByBatChem!AA26*$AF44</f>
        <v>32.272593749999999</v>
      </c>
    </row>
    <row r="45" spans="3:60" x14ac:dyDescent="0.35">
      <c r="C45" s="54" t="s">
        <v>577</v>
      </c>
      <c r="D45" s="202" t="s">
        <v>15</v>
      </c>
      <c r="E45" s="203" t="s">
        <v>15</v>
      </c>
      <c r="F45" s="202" t="s">
        <v>15</v>
      </c>
      <c r="G45" s="203" t="s">
        <v>15</v>
      </c>
      <c r="H45" s="202">
        <v>180000</v>
      </c>
      <c r="I45" s="205" t="s">
        <v>15</v>
      </c>
      <c r="J45" s="206">
        <f>J44</f>
        <v>2022</v>
      </c>
      <c r="K45" s="202">
        <f>K44*(1/M44)</f>
        <v>3547.272727272727</v>
      </c>
      <c r="L45" s="207">
        <f>L44</f>
        <v>2021</v>
      </c>
      <c r="M45" s="206" t="s">
        <v>15</v>
      </c>
      <c r="N45" s="208">
        <f>RawMaterial!F33</f>
        <v>0.107</v>
      </c>
      <c r="O45" s="209">
        <f>RawMaterial!G33</f>
        <v>45055</v>
      </c>
      <c r="P45" s="210">
        <f>N45*H$7*K45</f>
        <v>379558.18181818177</v>
      </c>
      <c r="Q45" s="159" t="s">
        <v>564</v>
      </c>
      <c r="T45" s="155" t="s">
        <v>303</v>
      </c>
      <c r="U45" s="5">
        <f t="shared" si="33"/>
        <v>138583333.33333334</v>
      </c>
      <c r="V45" s="5"/>
      <c r="X45" s="5">
        <f>RM_ByBatChem!E27*$U45</f>
        <v>692916666.66666675</v>
      </c>
      <c r="Y45" s="5">
        <f>RM_ByBatChem!H27*$U45</f>
        <v>1524416666.6666667</v>
      </c>
      <c r="Z45" s="5">
        <f>RM_ByBatChem!Q27*$U45</f>
        <v>0</v>
      </c>
      <c r="AA45" s="5">
        <f>RM_ByBatChem!T27*$U45</f>
        <v>0</v>
      </c>
      <c r="AB45" s="5">
        <f>RM_ByBatChem!X27*$U45</f>
        <v>618215613.38289964</v>
      </c>
      <c r="AC45" s="5">
        <f>RM_ByBatChem!AA27*$U45</f>
        <v>0</v>
      </c>
      <c r="AE45" s="155" t="s">
        <v>303</v>
      </c>
      <c r="AF45" s="32">
        <f t="shared" si="34"/>
        <v>1.3858333333333335</v>
      </c>
      <c r="AI45" s="340">
        <f>RM_ByBatChem!E27*$AF45</f>
        <v>6.9291666666666671</v>
      </c>
      <c r="AJ45" s="340">
        <f>RM_ByBatChem!H27*$AF45</f>
        <v>15.244166666666668</v>
      </c>
      <c r="AK45" s="340">
        <f>RM_ByBatChem!Q27*$AF45</f>
        <v>0</v>
      </c>
      <c r="AL45" s="340">
        <f>RM_ByBatChem!T27*$AF45</f>
        <v>0</v>
      </c>
      <c r="AM45" s="340">
        <f>RM_ByBatChem!X27*$AF45</f>
        <v>6.1821561338289968</v>
      </c>
      <c r="AN45" s="340">
        <f>RM_ByBatChem!AA27*$AF45</f>
        <v>0</v>
      </c>
    </row>
    <row r="46" spans="3:60" x14ac:dyDescent="0.35">
      <c r="C46" s="54" t="s">
        <v>582</v>
      </c>
      <c r="D46" s="197">
        <f>D$49*E46</f>
        <v>13.5</v>
      </c>
      <c r="E46" s="198">
        <v>1.8E-3</v>
      </c>
      <c r="F46" s="197">
        <f>F$49*G46</f>
        <v>8.4394366197183111</v>
      </c>
      <c r="G46" s="198">
        <v>4.0000000000000002E-4</v>
      </c>
      <c r="H46" s="199">
        <v>85</v>
      </c>
      <c r="I46" s="191" t="s">
        <v>15</v>
      </c>
      <c r="J46" s="177">
        <v>2022</v>
      </c>
      <c r="K46" s="197">
        <v>4.49</v>
      </c>
      <c r="L46" s="200">
        <v>2022</v>
      </c>
      <c r="M46" s="213" t="s">
        <v>15</v>
      </c>
      <c r="N46" s="170">
        <v>2.1059999999999999</v>
      </c>
      <c r="O46" s="201">
        <v>45055</v>
      </c>
      <c r="P46" s="179">
        <f>N46*H$7*K46</f>
        <v>9455.94</v>
      </c>
      <c r="Q46" s="234" t="s">
        <v>667</v>
      </c>
      <c r="T46" s="155" t="s">
        <v>304</v>
      </c>
      <c r="U46" s="5">
        <f t="shared" si="33"/>
        <v>138583333.33333334</v>
      </c>
      <c r="V46" s="5"/>
      <c r="X46" s="5">
        <f>RM_ByBatChem!E28*$U46</f>
        <v>5404750000</v>
      </c>
      <c r="Y46" s="5">
        <f>RM_ByBatChem!H28*$U46</f>
        <v>3880333333.3333335</v>
      </c>
      <c r="Z46" s="5">
        <f>RM_ByBatChem!Q28*$U46</f>
        <v>0</v>
      </c>
      <c r="AA46" s="5">
        <f>RM_ByBatChem!T28*$U46</f>
        <v>0</v>
      </c>
      <c r="AB46" s="5">
        <f>RM_ByBatChem!X28*$U46</f>
        <v>6182156133.8289976</v>
      </c>
      <c r="AC46" s="5">
        <f>RM_ByBatChem!AA28*$U46</f>
        <v>0</v>
      </c>
      <c r="AE46" s="155" t="s">
        <v>304</v>
      </c>
      <c r="AF46" s="32">
        <f t="shared" si="34"/>
        <v>1.3858333333333335</v>
      </c>
      <c r="AI46" s="340">
        <f>RM_ByBatChem!E28*$AF46</f>
        <v>54.047500000000007</v>
      </c>
      <c r="AJ46" s="340">
        <f>RM_ByBatChem!H28*$AF46</f>
        <v>38.803333333333335</v>
      </c>
      <c r="AK46" s="340">
        <f>RM_ByBatChem!Q28*$AF46</f>
        <v>0</v>
      </c>
      <c r="AL46" s="340">
        <f>RM_ByBatChem!T28*$AF46</f>
        <v>0</v>
      </c>
      <c r="AM46" s="340">
        <f>RM_ByBatChem!X28*$AF46</f>
        <v>61.821561338289975</v>
      </c>
      <c r="AN46" s="340">
        <f>RM_ByBatChem!AA28*$AF46</f>
        <v>0</v>
      </c>
    </row>
    <row r="47" spans="3:60" x14ac:dyDescent="0.35">
      <c r="C47" s="54" t="s">
        <v>584</v>
      </c>
      <c r="D47" s="202">
        <f>D$49*E47</f>
        <v>6</v>
      </c>
      <c r="E47" s="203">
        <v>8.0000000000000004E-4</v>
      </c>
      <c r="F47" s="202">
        <f>F$49*G47</f>
        <v>31.647887323943664</v>
      </c>
      <c r="G47" s="203">
        <v>1.5E-3</v>
      </c>
      <c r="H47" s="204">
        <v>210</v>
      </c>
      <c r="I47" s="205" t="s">
        <v>15</v>
      </c>
      <c r="J47" s="206">
        <v>2022</v>
      </c>
      <c r="K47" s="202">
        <f>RawMaterialsBEV!F17/H8</f>
        <v>13.8</v>
      </c>
      <c r="L47" s="207">
        <f>RawMaterialsBEV!G17</f>
        <v>2021</v>
      </c>
      <c r="M47" s="231" t="s">
        <v>15</v>
      </c>
      <c r="N47" s="208">
        <f>CostOfRawMaterialsBEV!D19</f>
        <v>2.673</v>
      </c>
      <c r="O47" s="209">
        <f>CostOfRawMaterialsBEV!F19</f>
        <v>45055</v>
      </c>
      <c r="P47" s="210">
        <f>N47*H$7*K47</f>
        <v>36887.4</v>
      </c>
      <c r="Q47" s="234" t="s">
        <v>668</v>
      </c>
      <c r="T47" s="155" t="s">
        <v>683</v>
      </c>
      <c r="U47" s="5">
        <f t="shared" si="33"/>
        <v>138583333.33333334</v>
      </c>
      <c r="V47" s="5"/>
      <c r="X47" s="5">
        <f>RM_ByBatChem!E29*$U47</f>
        <v>692916666.66666675</v>
      </c>
      <c r="Y47" s="5">
        <f>RM_ByBatChem!H29*$U47</f>
        <v>2217333333.3333335</v>
      </c>
      <c r="Z47" s="5">
        <f>RM_ByBatChem!Q29*$U47</f>
        <v>0</v>
      </c>
      <c r="AA47" s="5">
        <f>RM_ByBatChem!T29*$U47</f>
        <v>2164539682.5396829</v>
      </c>
      <c r="AB47" s="5">
        <f>RM_ByBatChem!X29*$U47</f>
        <v>0</v>
      </c>
      <c r="AC47" s="5">
        <f>RM_ByBatChem!AA29*$U47</f>
        <v>2598437500</v>
      </c>
      <c r="AE47" s="155" t="s">
        <v>683</v>
      </c>
      <c r="AF47" s="32">
        <f t="shared" si="34"/>
        <v>1.3858333333333335</v>
      </c>
      <c r="AI47" s="340">
        <f>RM_ByBatChem!E29*$AF47</f>
        <v>6.9291666666666671</v>
      </c>
      <c r="AJ47" s="340">
        <f>RM_ByBatChem!H29*$AF47</f>
        <v>22.173333333333336</v>
      </c>
      <c r="AK47" s="340">
        <f>RM_ByBatChem!Q29*$AF47</f>
        <v>0</v>
      </c>
      <c r="AL47" s="340">
        <f>RM_ByBatChem!T29*$AF47</f>
        <v>21.64539682539683</v>
      </c>
      <c r="AM47" s="340">
        <f>RM_ByBatChem!X29*$AF47</f>
        <v>0</v>
      </c>
      <c r="AN47" s="340">
        <f>RM_ByBatChem!AA29*$AF47</f>
        <v>25.984375000000004</v>
      </c>
    </row>
    <row r="48" spans="3:60" x14ac:dyDescent="0.35">
      <c r="C48" s="54" t="s">
        <v>511</v>
      </c>
      <c r="D48" s="197">
        <f>D49-SUM(D17:D47)-D30</f>
        <v>4319.3339999999998</v>
      </c>
      <c r="E48" s="198">
        <f>D48/D$49</f>
        <v>0.57591119999999996</v>
      </c>
      <c r="F48" s="197">
        <f>F49-SUM(F17:F47)</f>
        <v>13091.847985915494</v>
      </c>
      <c r="G48" s="198">
        <f>F48/F49</f>
        <v>0.6205081488651536</v>
      </c>
      <c r="H48" s="191" t="s">
        <v>576</v>
      </c>
      <c r="I48" s="191" t="s">
        <v>576</v>
      </c>
      <c r="J48" s="191" t="s">
        <v>576</v>
      </c>
      <c r="K48" s="191" t="s">
        <v>576</v>
      </c>
      <c r="L48" s="191" t="s">
        <v>576</v>
      </c>
      <c r="M48" s="191" t="s">
        <v>576</v>
      </c>
      <c r="N48" s="191" t="s">
        <v>576</v>
      </c>
      <c r="O48" s="191" t="s">
        <v>576</v>
      </c>
      <c r="P48" s="191" t="s">
        <v>576</v>
      </c>
      <c r="Q48" s="229" t="s">
        <v>576</v>
      </c>
      <c r="T48" s="155" t="s">
        <v>819</v>
      </c>
      <c r="U48" s="5">
        <f t="shared" si="33"/>
        <v>138583333.33333334</v>
      </c>
      <c r="V48" s="5"/>
      <c r="X48" s="5">
        <f>RM_ByBatChem!E30*$U48</f>
        <v>6236250000</v>
      </c>
      <c r="Y48" s="5">
        <f>RM_ByBatChem!H30*$U48</f>
        <v>7344916666.666667</v>
      </c>
      <c r="Z48" s="5">
        <f>RM_ByBatChem!Q30*$U48</f>
        <v>9146500000</v>
      </c>
      <c r="AA48" s="5">
        <f>RM_ByBatChem!T30*$U48</f>
        <v>6968761904.7619047</v>
      </c>
      <c r="AB48" s="5">
        <f>RM_ByBatChem!X30*$U48</f>
        <v>6143002478.3147469</v>
      </c>
      <c r="AC48" s="5">
        <f>RM_ByBatChem!AA30*$U48</f>
        <v>0</v>
      </c>
      <c r="AE48" s="155" t="s">
        <v>819</v>
      </c>
      <c r="AF48" s="32">
        <f t="shared" si="34"/>
        <v>1.3858333333333335</v>
      </c>
      <c r="AI48" s="340">
        <f>RM_ByBatChem!E30*$AF48</f>
        <v>62.362500000000004</v>
      </c>
      <c r="AJ48" s="340">
        <f>RM_ByBatChem!H30*$AF48</f>
        <v>73.44916666666667</v>
      </c>
      <c r="AK48" s="340">
        <f>RM_ByBatChem!Q30*$AF48</f>
        <v>91.465000000000003</v>
      </c>
      <c r="AL48" s="340">
        <f>RM_ByBatChem!T30*$AF48</f>
        <v>69.687619047619052</v>
      </c>
      <c r="AM48" s="340">
        <f>RM_ByBatChem!X30*$AF48</f>
        <v>61.430024783147473</v>
      </c>
      <c r="AN48" s="340">
        <f>RM_ByBatChem!AA30*$AF48</f>
        <v>0</v>
      </c>
    </row>
    <row r="49" spans="3:40" x14ac:dyDescent="0.35">
      <c r="C49" s="54" t="s">
        <v>572</v>
      </c>
      <c r="D49" s="214">
        <v>7500</v>
      </c>
      <c r="E49" s="215">
        <f>D49/D$49</f>
        <v>1</v>
      </c>
      <c r="F49" s="214">
        <f>F17*(1/G17)</f>
        <v>21098.591549295776</v>
      </c>
      <c r="G49" s="215">
        <f>F49/F$49</f>
        <v>1</v>
      </c>
      <c r="H49" s="191" t="s">
        <v>576</v>
      </c>
      <c r="I49" s="191" t="s">
        <v>576</v>
      </c>
      <c r="J49" s="191" t="s">
        <v>576</v>
      </c>
      <c r="K49" s="191" t="s">
        <v>576</v>
      </c>
      <c r="L49" s="191" t="s">
        <v>576</v>
      </c>
      <c r="M49" s="191" t="s">
        <v>576</v>
      </c>
      <c r="N49" s="191" t="s">
        <v>576</v>
      </c>
      <c r="O49" s="191" t="s">
        <v>576</v>
      </c>
      <c r="P49" s="191" t="s">
        <v>576</v>
      </c>
      <c r="Q49" s="229" t="s">
        <v>576</v>
      </c>
      <c r="T49" s="155" t="s">
        <v>820</v>
      </c>
      <c r="U49" s="5">
        <f t="shared" si="33"/>
        <v>138583333.33333334</v>
      </c>
      <c r="V49" s="5"/>
      <c r="X49" s="5">
        <f>RM_ByBatChem!E31*$U49</f>
        <v>0</v>
      </c>
      <c r="Y49" s="5">
        <f>RM_ByBatChem!H31*$U49</f>
        <v>0</v>
      </c>
      <c r="Z49" s="5">
        <f>RM_ByBatChem!Q31*$U49</f>
        <v>0</v>
      </c>
      <c r="AA49" s="5">
        <f>RM_ByBatChem!T31*$U49</f>
        <v>0</v>
      </c>
      <c r="AB49" s="5">
        <f>RM_ByBatChem!X31*$U49</f>
        <v>0</v>
      </c>
      <c r="AC49" s="5">
        <f>RM_ByBatChem!AA31*$U49</f>
        <v>10393750000</v>
      </c>
      <c r="AE49" s="155" t="s">
        <v>820</v>
      </c>
      <c r="AF49" s="32">
        <f t="shared" si="34"/>
        <v>1.3858333333333335</v>
      </c>
      <c r="AI49" s="340">
        <f>RM_ByBatChem!E31*$AF49</f>
        <v>0</v>
      </c>
      <c r="AJ49" s="340">
        <f>RM_ByBatChem!H31*$AF49</f>
        <v>0</v>
      </c>
      <c r="AK49" s="340">
        <f>RM_ByBatChem!Q31*$AF49</f>
        <v>0</v>
      </c>
      <c r="AL49" s="340">
        <f>RM_ByBatChem!T31*$AF49</f>
        <v>0</v>
      </c>
      <c r="AM49" s="340">
        <f>RM_ByBatChem!X31*$AF49</f>
        <v>0</v>
      </c>
      <c r="AN49" s="340">
        <f>RM_ByBatChem!AA31*$AF49</f>
        <v>103.93750000000001</v>
      </c>
    </row>
    <row r="50" spans="3:40" x14ac:dyDescent="0.35">
      <c r="C50" s="54" t="s">
        <v>583</v>
      </c>
      <c r="D50" s="191" t="s">
        <v>576</v>
      </c>
      <c r="E50" s="191" t="s">
        <v>576</v>
      </c>
      <c r="F50" s="191" t="s">
        <v>576</v>
      </c>
      <c r="G50" s="191" t="s">
        <v>576</v>
      </c>
      <c r="H50" s="199">
        <f>M50*H51</f>
        <v>5547.3684210526317</v>
      </c>
      <c r="I50" s="191" t="s">
        <v>15</v>
      </c>
      <c r="J50" s="177">
        <f>J51</f>
        <v>2022</v>
      </c>
      <c r="K50" s="197">
        <f>RawMaterialsBEV!F20/H8</f>
        <v>68</v>
      </c>
      <c r="L50" s="200">
        <v>2022</v>
      </c>
      <c r="M50" s="213">
        <f>K50/K51</f>
        <v>0.17894736842105263</v>
      </c>
      <c r="N50" s="170">
        <f>CostOfRawMaterialsBEV!D22</f>
        <v>2.3479999999999999</v>
      </c>
      <c r="O50" s="201">
        <f>CostOfRawMaterialsBEV!F22</f>
        <v>45010</v>
      </c>
      <c r="P50" s="179">
        <f t="shared" ref="P50:P58" si="35">N50*H$7*K50</f>
        <v>159664</v>
      </c>
      <c r="Q50" s="234" t="s">
        <v>669</v>
      </c>
      <c r="T50" s="155" t="s">
        <v>801</v>
      </c>
      <c r="U50" s="5">
        <f t="shared" si="33"/>
        <v>138583333.33333334</v>
      </c>
      <c r="V50" s="5"/>
      <c r="X50" s="5">
        <f>(RM_ByBatChem!E32+RM_ByBatChem!E35)*$U50</f>
        <v>2771666666.666667</v>
      </c>
      <c r="Y50" s="5">
        <f>(RM_ByBatChem!H32+RM_ByBatChem!H35)*$U50</f>
        <v>2771666666.666667</v>
      </c>
      <c r="Z50" s="5">
        <f>(RM_ByBatChem!Q32+RM_ByBatChem!Q35)*$U50</f>
        <v>9285083333.333334</v>
      </c>
      <c r="AA50" s="5">
        <f>(RM_ByBatChem!T32+RM_ByBatChem!T35)*$U50</f>
        <v>4909809523.8095245</v>
      </c>
      <c r="AB50" s="5">
        <f>(RM_ByBatChem!X32+RM_ByBatChem!X35)*$U50</f>
        <v>2373432775.7125163</v>
      </c>
      <c r="AC50" s="5">
        <f>(RM_ByBatChem!AA32+RM_ByBatChem!AA35)*$U50</f>
        <v>15423458854.166668</v>
      </c>
      <c r="AE50" s="155" t="s">
        <v>801</v>
      </c>
      <c r="AF50" s="32">
        <f t="shared" si="34"/>
        <v>1.3858333333333335</v>
      </c>
      <c r="AI50" s="340">
        <f>(RM_ByBatChem!E32+RM_ByBatChem!E35)*$AF50</f>
        <v>27.716666666666669</v>
      </c>
      <c r="AJ50" s="340">
        <f>(RM_ByBatChem!H32+RM_ByBatChem!H35)*$AF50</f>
        <v>27.716666666666669</v>
      </c>
      <c r="AK50" s="340">
        <f>(RM_ByBatChem!Q32+RM_ByBatChem!Q35)*$AF50</f>
        <v>92.850833333333341</v>
      </c>
      <c r="AL50" s="340">
        <f>(RM_ByBatChem!T32+RM_ByBatChem!T35)*$AF50</f>
        <v>49.098095238095247</v>
      </c>
      <c r="AM50" s="340">
        <f>(RM_ByBatChem!X32+RM_ByBatChem!X35)*$AF50</f>
        <v>23.734327757125161</v>
      </c>
      <c r="AN50" s="340">
        <f>(RM_ByBatChem!AA32+RM_ByBatChem!AA35)*$AF50</f>
        <v>154.23458854166668</v>
      </c>
    </row>
    <row r="51" spans="3:40" x14ac:dyDescent="0.35">
      <c r="C51" s="54" t="s">
        <v>587</v>
      </c>
      <c r="D51" s="191" t="s">
        <v>576</v>
      </c>
      <c r="E51" s="191" t="s">
        <v>576</v>
      </c>
      <c r="F51" s="191" t="s">
        <v>576</v>
      </c>
      <c r="G51" s="191" t="s">
        <v>576</v>
      </c>
      <c r="H51" s="197">
        <v>31000</v>
      </c>
      <c r="I51" s="191" t="s">
        <v>15</v>
      </c>
      <c r="J51" s="177">
        <v>2022</v>
      </c>
      <c r="K51" s="197">
        <v>380</v>
      </c>
      <c r="L51" s="200">
        <v>2022</v>
      </c>
      <c r="M51" s="213" t="s">
        <v>15</v>
      </c>
      <c r="N51" s="170">
        <f>P$9</f>
        <v>0.12</v>
      </c>
      <c r="O51" s="201" t="s">
        <v>15</v>
      </c>
      <c r="P51" s="179">
        <f t="shared" si="35"/>
        <v>45600</v>
      </c>
      <c r="Q51" s="21" t="s">
        <v>564</v>
      </c>
      <c r="T51" s="155" t="s">
        <v>306</v>
      </c>
      <c r="U51" s="5">
        <f t="shared" si="33"/>
        <v>138583333.33333334</v>
      </c>
      <c r="V51" s="5"/>
      <c r="X51" s="5">
        <f>RM_ByBatChem!E33*$U51</f>
        <v>4157500000.0000005</v>
      </c>
      <c r="Y51" s="5">
        <f>RM_ByBatChem!H33*$U51</f>
        <v>4850416666.666667</v>
      </c>
      <c r="Z51" s="5">
        <f>RM_ByBatChem!Q33*$U51</f>
        <v>6097666666.666667</v>
      </c>
      <c r="AA51" s="5">
        <f>RM_ByBatChem!T33*$U51</f>
        <v>4645841269.8412704</v>
      </c>
      <c r="AB51" s="5">
        <f>RM_ByBatChem!X33*$U51</f>
        <v>4188410780.6691461</v>
      </c>
      <c r="AC51" s="5">
        <f>RM_ByBatChem!AA33*$U51</f>
        <v>11199265625.000002</v>
      </c>
      <c r="AE51" s="155" t="s">
        <v>306</v>
      </c>
      <c r="AF51" s="32">
        <f t="shared" si="34"/>
        <v>1.3858333333333335</v>
      </c>
      <c r="AI51" s="340">
        <f>RM_ByBatChem!E33*$AF51</f>
        <v>41.575000000000003</v>
      </c>
      <c r="AJ51" s="340">
        <f>RM_ByBatChem!H33*$AF51</f>
        <v>48.50416666666667</v>
      </c>
      <c r="AK51" s="340">
        <f>RM_ByBatChem!Q33*$AF51</f>
        <v>60.976666666666674</v>
      </c>
      <c r="AL51" s="340">
        <f>RM_ByBatChem!T33*$AF51</f>
        <v>46.458412698412708</v>
      </c>
      <c r="AM51" s="340">
        <f>RM_ByBatChem!X33*$AF51</f>
        <v>41.88410780669146</v>
      </c>
      <c r="AN51" s="340">
        <f>RM_ByBatChem!AA33*$AF51</f>
        <v>111.99265625000002</v>
      </c>
    </row>
    <row r="52" spans="3:40" x14ac:dyDescent="0.35">
      <c r="C52" s="54" t="s">
        <v>585</v>
      </c>
      <c r="D52" s="205" t="s">
        <v>576</v>
      </c>
      <c r="E52" s="205" t="s">
        <v>576</v>
      </c>
      <c r="F52" s="205" t="s">
        <v>576</v>
      </c>
      <c r="G52" s="205" t="s">
        <v>576</v>
      </c>
      <c r="H52" s="204">
        <f>M52*H53</f>
        <v>164.63629668500019</v>
      </c>
      <c r="I52" s="205" t="s">
        <v>15</v>
      </c>
      <c r="J52" s="206">
        <f>J53</f>
        <v>2022</v>
      </c>
      <c r="K52" s="202">
        <f>Mg!M23/H7</f>
        <v>1.022</v>
      </c>
      <c r="L52" s="207">
        <f>Mg!M8</f>
        <v>2018</v>
      </c>
      <c r="M52" s="231">
        <f>K52/K53</f>
        <v>3.8637948060314523E-2</v>
      </c>
      <c r="N52" s="208">
        <f>CostOfRawMaterialsBEV!D18</f>
        <v>3.8089232000000002</v>
      </c>
      <c r="O52" s="209">
        <f>CostOfRawMaterialsBEV!F18</f>
        <v>45031</v>
      </c>
      <c r="P52" s="210">
        <f t="shared" si="35"/>
        <v>3892.7195104000002</v>
      </c>
      <c r="Q52" s="234" t="s">
        <v>670</v>
      </c>
      <c r="T52" s="155" t="s">
        <v>307</v>
      </c>
      <c r="U52" s="5">
        <f t="shared" si="33"/>
        <v>138583333.33333334</v>
      </c>
      <c r="V52" s="5"/>
      <c r="X52" s="5">
        <f>RM_ByBatChem!E34*$U52</f>
        <v>2771666666.666667</v>
      </c>
      <c r="Y52" s="5">
        <f>RM_ByBatChem!H34*$U52</f>
        <v>2771666666.666667</v>
      </c>
      <c r="Z52" s="5">
        <f>RM_ByBatChem!Q34*$U52</f>
        <v>3603166666.666667</v>
      </c>
      <c r="AA52" s="5">
        <f>RM_ByBatChem!T34*$U52</f>
        <v>2745269841.2698417</v>
      </c>
      <c r="AB52" s="5">
        <f>RM_ByBatChem!X34*$U52</f>
        <v>2472862453.5315986</v>
      </c>
      <c r="AC52" s="5">
        <f>RM_ByBatChem!AA34*$U52</f>
        <v>0</v>
      </c>
      <c r="AE52" s="155" t="s">
        <v>307</v>
      </c>
      <c r="AF52" s="32">
        <f t="shared" si="34"/>
        <v>1.3858333333333335</v>
      </c>
      <c r="AI52" s="340">
        <f>RM_ByBatChem!E34*$AF52</f>
        <v>27.716666666666669</v>
      </c>
      <c r="AJ52" s="340">
        <f>RM_ByBatChem!H34*$AF52</f>
        <v>27.716666666666669</v>
      </c>
      <c r="AK52" s="340">
        <f>RM_ByBatChem!Q34*$AF52</f>
        <v>36.031666666666673</v>
      </c>
      <c r="AL52" s="340">
        <f>RM_ByBatChem!T34*$AF52</f>
        <v>27.452698412698417</v>
      </c>
      <c r="AM52" s="340">
        <f>RM_ByBatChem!X34*$AF52</f>
        <v>24.728624535315987</v>
      </c>
      <c r="AN52" s="340">
        <f>RM_ByBatChem!AA34*$AF52</f>
        <v>0</v>
      </c>
    </row>
    <row r="53" spans="3:40" x14ac:dyDescent="0.35">
      <c r="C53" s="54" t="s">
        <v>575</v>
      </c>
      <c r="D53" s="205" t="s">
        <v>576</v>
      </c>
      <c r="E53" s="205" t="s">
        <v>576</v>
      </c>
      <c r="F53" s="205" t="s">
        <v>576</v>
      </c>
      <c r="G53" s="205" t="s">
        <v>576</v>
      </c>
      <c r="H53" s="202">
        <f>Mg!F27/H8</f>
        <v>4261</v>
      </c>
      <c r="I53" s="205" t="s">
        <v>15</v>
      </c>
      <c r="J53" s="206">
        <f>Mg!D8</f>
        <v>2022</v>
      </c>
      <c r="K53" s="202">
        <f>Mg!D27/H8</f>
        <v>26.450679999999998</v>
      </c>
      <c r="L53" s="207">
        <f>Mg!D8</f>
        <v>2022</v>
      </c>
      <c r="M53" s="231" t="s">
        <v>15</v>
      </c>
      <c r="N53" s="208">
        <f>P$9</f>
        <v>0.12</v>
      </c>
      <c r="O53" s="209" t="s">
        <v>15</v>
      </c>
      <c r="P53" s="210">
        <f t="shared" si="35"/>
        <v>3174.0816</v>
      </c>
      <c r="Q53" s="234" t="s">
        <v>671</v>
      </c>
      <c r="X53" s="5"/>
      <c r="Y53" s="5"/>
      <c r="Z53" s="5"/>
      <c r="AA53" s="5"/>
      <c r="AB53" s="5"/>
      <c r="AC53" s="5"/>
      <c r="AI53" s="5"/>
      <c r="AJ53" s="5"/>
      <c r="AK53" s="5"/>
      <c r="AL53" s="5"/>
      <c r="AM53" s="5"/>
      <c r="AN53" s="5"/>
    </row>
    <row r="54" spans="3:40" x14ac:dyDescent="0.35">
      <c r="C54" s="54" t="s">
        <v>765</v>
      </c>
      <c r="D54" s="191" t="s">
        <v>576</v>
      </c>
      <c r="E54" s="191" t="s">
        <v>576</v>
      </c>
      <c r="F54" s="191" t="s">
        <v>576</v>
      </c>
      <c r="G54" s="191" t="s">
        <v>576</v>
      </c>
      <c r="H54" s="199">
        <f>Graphite!F35/H8</f>
        <v>330</v>
      </c>
      <c r="I54" s="191" t="s">
        <v>15</v>
      </c>
      <c r="J54" s="177">
        <v>2022</v>
      </c>
      <c r="K54" s="197">
        <f>Graphite!D38/H8</f>
        <v>3.5</v>
      </c>
      <c r="L54" s="200">
        <v>2022</v>
      </c>
      <c r="M54" s="213">
        <v>1</v>
      </c>
      <c r="N54" s="170">
        <f>CostOfRawMaterialsBEV!D10</f>
        <v>9.5</v>
      </c>
      <c r="O54" s="201">
        <f>CostOfRawMaterialsBEV!F10</f>
        <v>44166</v>
      </c>
      <c r="P54" s="179">
        <f t="shared" si="35"/>
        <v>33250</v>
      </c>
      <c r="Q54" s="234" t="s">
        <v>755</v>
      </c>
      <c r="T54" s="105" t="s">
        <v>443</v>
      </c>
      <c r="X54" s="65">
        <f t="shared" ref="X54:AC54" si="36">SUM(X43:X52)/$Y36</f>
        <v>190.5</v>
      </c>
      <c r="Y54" s="65">
        <f t="shared" si="36"/>
        <v>220.10000000000002</v>
      </c>
      <c r="Z54" s="65">
        <f t="shared" si="36"/>
        <v>234.8</v>
      </c>
      <c r="AA54" s="65">
        <f t="shared" si="36"/>
        <v>178.89523809523808</v>
      </c>
      <c r="AB54" s="65">
        <f t="shared" si="36"/>
        <v>190.50929368029742</v>
      </c>
      <c r="AC54" s="65">
        <f t="shared" si="36"/>
        <v>309.14375000000001</v>
      </c>
      <c r="AD54" s="65"/>
      <c r="AE54" s="305" t="s">
        <v>443</v>
      </c>
      <c r="AF54" s="65"/>
      <c r="AG54" s="65"/>
      <c r="AH54" s="65"/>
      <c r="AI54" s="65">
        <f t="shared" ref="AI54:AN54" si="37">SUM(AI43:AI52)/$AJ36</f>
        <v>190.5</v>
      </c>
      <c r="AJ54" s="65">
        <f t="shared" si="37"/>
        <v>220.1</v>
      </c>
      <c r="AK54" s="65">
        <f t="shared" si="37"/>
        <v>234.8</v>
      </c>
      <c r="AL54" s="65">
        <f t="shared" si="37"/>
        <v>178.89523809523808</v>
      </c>
      <c r="AM54" s="65">
        <f t="shared" si="37"/>
        <v>190.50929368029742</v>
      </c>
      <c r="AN54" s="65">
        <f t="shared" si="37"/>
        <v>309.14375000000001</v>
      </c>
    </row>
    <row r="55" spans="3:40" x14ac:dyDescent="0.35">
      <c r="C55" s="54" t="s">
        <v>771</v>
      </c>
      <c r="D55" s="191" t="s">
        <v>576</v>
      </c>
      <c r="E55" s="191" t="s">
        <v>576</v>
      </c>
      <c r="F55" s="191" t="s">
        <v>576</v>
      </c>
      <c r="G55" s="191" t="s">
        <v>576</v>
      </c>
      <c r="H55" s="199" t="s">
        <v>772</v>
      </c>
      <c r="I55" s="197" t="s">
        <v>772</v>
      </c>
      <c r="J55" s="177" t="s">
        <v>576</v>
      </c>
      <c r="K55" s="197">
        <v>0.02</v>
      </c>
      <c r="L55" s="200">
        <v>2022</v>
      </c>
      <c r="M55" s="213">
        <v>1</v>
      </c>
      <c r="N55" s="170">
        <f>RM_ByBatChem!D31</f>
        <v>30</v>
      </c>
      <c r="O55" s="201">
        <v>2022</v>
      </c>
      <c r="P55" s="179">
        <f t="shared" si="35"/>
        <v>600</v>
      </c>
      <c r="Q55" s="21" t="s">
        <v>564</v>
      </c>
    </row>
    <row r="56" spans="3:40" x14ac:dyDescent="0.35">
      <c r="C56" s="54" t="s">
        <v>759</v>
      </c>
      <c r="D56" s="191" t="s">
        <v>576</v>
      </c>
      <c r="E56" s="191" t="s">
        <v>576</v>
      </c>
      <c r="F56" s="191" t="s">
        <v>576</v>
      </c>
      <c r="G56" s="191" t="s">
        <v>576</v>
      </c>
      <c r="H56" s="199">
        <v>1074108</v>
      </c>
      <c r="I56" s="191" t="s">
        <v>15</v>
      </c>
      <c r="J56" s="177">
        <v>2020</v>
      </c>
      <c r="K56" s="197">
        <f>RawMaterial!C34/H8</f>
        <v>7700</v>
      </c>
      <c r="L56" s="200">
        <v>2021</v>
      </c>
      <c r="M56" s="213">
        <v>1</v>
      </c>
      <c r="N56" s="170">
        <f>RawMaterial!F34</f>
        <v>0.16200000000000001</v>
      </c>
      <c r="O56" s="201">
        <f>RawMaterial!G34</f>
        <v>45066</v>
      </c>
      <c r="P56" s="179">
        <f t="shared" si="35"/>
        <v>1247400</v>
      </c>
      <c r="Q56" s="21" t="s">
        <v>564</v>
      </c>
    </row>
    <row r="57" spans="3:40" x14ac:dyDescent="0.35">
      <c r="C57" s="54" t="s">
        <v>762</v>
      </c>
      <c r="D57" s="191" t="s">
        <v>576</v>
      </c>
      <c r="E57" s="191" t="s">
        <v>576</v>
      </c>
      <c r="F57" s="191" t="s">
        <v>576</v>
      </c>
      <c r="G57" s="191" t="s">
        <v>576</v>
      </c>
      <c r="H57" s="199">
        <f>(G104/F106)*H7</f>
        <v>169416.09822646657</v>
      </c>
      <c r="I57" s="191" t="s">
        <v>15</v>
      </c>
      <c r="J57" s="177">
        <v>2022</v>
      </c>
      <c r="K57" s="197">
        <f>RawMaterial!C35/H8</f>
        <v>4200</v>
      </c>
      <c r="L57" s="200">
        <v>2021</v>
      </c>
      <c r="M57" s="213">
        <v>1</v>
      </c>
      <c r="N57" s="170">
        <f>RawMaterial!F35</f>
        <v>0.52409499999999998</v>
      </c>
      <c r="O57" s="201">
        <f>RawMaterial!G35</f>
        <v>45066</v>
      </c>
      <c r="P57" s="179">
        <f t="shared" si="35"/>
        <v>2201199</v>
      </c>
      <c r="Q57" s="21" t="s">
        <v>564</v>
      </c>
    </row>
    <row r="58" spans="3:40" ht="15" thickBot="1" x14ac:dyDescent="0.4">
      <c r="C58" s="64" t="s">
        <v>766</v>
      </c>
      <c r="D58" s="216" t="s">
        <v>576</v>
      </c>
      <c r="E58" s="216" t="s">
        <v>576</v>
      </c>
      <c r="F58" s="216" t="s">
        <v>576</v>
      </c>
      <c r="G58" s="216" t="s">
        <v>576</v>
      </c>
      <c r="H58" s="217">
        <f>I108/F106</f>
        <v>157410.64120054571</v>
      </c>
      <c r="I58" s="216" t="s">
        <v>15</v>
      </c>
      <c r="J58" s="218">
        <v>2017</v>
      </c>
      <c r="K58" s="219">
        <f>RawMaterial!C36/H8</f>
        <v>3743.5161800818555</v>
      </c>
      <c r="L58" s="220">
        <v>2022</v>
      </c>
      <c r="M58" s="221">
        <v>1</v>
      </c>
      <c r="N58" s="222">
        <f>RawMaterial!F36</f>
        <v>0.34043158800000001</v>
      </c>
      <c r="O58" s="223">
        <f>RawMaterial!G36</f>
        <v>45066</v>
      </c>
      <c r="P58" s="226">
        <f t="shared" si="35"/>
        <v>1274411.1578889601</v>
      </c>
      <c r="Q58" s="224" t="s">
        <v>564</v>
      </c>
    </row>
    <row r="59" spans="3:40" ht="15" thickTop="1" x14ac:dyDescent="0.35">
      <c r="N59" s="65"/>
      <c r="O59" s="193"/>
      <c r="P59" s="5"/>
    </row>
    <row r="60" spans="3:40" x14ac:dyDescent="0.35">
      <c r="C60" s="6" t="str">
        <f>RawMaterialsBEV!$B$25</f>
        <v>Sources and attribution</v>
      </c>
      <c r="D60" s="6"/>
      <c r="E60" s="6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3:40" ht="15" thickBot="1" x14ac:dyDescent="0.4"/>
    <row r="62" spans="3:40" ht="15" thickTop="1" x14ac:dyDescent="0.35">
      <c r="C62" s="53" t="s">
        <v>491</v>
      </c>
      <c r="D62" s="256" t="s">
        <v>368</v>
      </c>
      <c r="E62" s="257" t="s">
        <v>15</v>
      </c>
      <c r="F62" s="256" t="s">
        <v>368</v>
      </c>
      <c r="G62" s="256" t="s">
        <v>520</v>
      </c>
      <c r="H62" s="256" t="s">
        <v>404</v>
      </c>
      <c r="I62" s="256" t="s">
        <v>368</v>
      </c>
      <c r="J62" s="257" t="s">
        <v>15</v>
      </c>
      <c r="K62" s="256" t="s">
        <v>404</v>
      </c>
      <c r="L62" s="257" t="s">
        <v>15</v>
      </c>
      <c r="M62" s="256" t="s">
        <v>144</v>
      </c>
      <c r="N62" s="256" t="s">
        <v>46</v>
      </c>
      <c r="O62" s="256" t="s">
        <v>15</v>
      </c>
      <c r="P62" s="257" t="s">
        <v>15</v>
      </c>
      <c r="Q62" s="258" t="s">
        <v>400</v>
      </c>
      <c r="R62" t="s">
        <v>15</v>
      </c>
    </row>
    <row r="63" spans="3:40" x14ac:dyDescent="0.35">
      <c r="C63" s="54" t="s">
        <v>537</v>
      </c>
      <c r="D63" s="259"/>
      <c r="E63" s="260"/>
      <c r="F63" s="259"/>
      <c r="G63" s="259"/>
      <c r="H63" s="259"/>
      <c r="I63" s="259"/>
      <c r="J63" s="260"/>
      <c r="K63" s="259" t="s">
        <v>610</v>
      </c>
      <c r="L63" s="260" t="s">
        <v>15</v>
      </c>
      <c r="M63" s="259"/>
      <c r="N63" s="259" t="s">
        <v>672</v>
      </c>
      <c r="O63" s="261" t="s">
        <v>674</v>
      </c>
      <c r="P63" s="260" t="s">
        <v>15</v>
      </c>
      <c r="Q63" s="262" t="s">
        <v>610</v>
      </c>
      <c r="R63" t="s">
        <v>15</v>
      </c>
    </row>
    <row r="64" spans="3:40" x14ac:dyDescent="0.35">
      <c r="C64" s="54" t="s">
        <v>869</v>
      </c>
      <c r="D64" s="259"/>
      <c r="E64" s="260"/>
      <c r="F64" s="259"/>
      <c r="G64" s="259"/>
      <c r="H64" s="259"/>
      <c r="I64" s="259"/>
      <c r="J64" s="260"/>
      <c r="K64" s="259"/>
      <c r="L64" s="260"/>
      <c r="M64" s="259"/>
      <c r="N64" s="259"/>
      <c r="O64" s="261"/>
      <c r="P64" s="260"/>
      <c r="Q64" s="262" t="s">
        <v>867</v>
      </c>
      <c r="R64" t="s">
        <v>15</v>
      </c>
    </row>
    <row r="65" spans="3:18" x14ac:dyDescent="0.35">
      <c r="C65" s="54" t="s">
        <v>492</v>
      </c>
      <c r="D65" s="263" t="s">
        <v>368</v>
      </c>
      <c r="E65" s="264" t="s">
        <v>15</v>
      </c>
      <c r="F65" s="263" t="s">
        <v>368</v>
      </c>
      <c r="G65" s="264" t="s">
        <v>15</v>
      </c>
      <c r="H65" s="263" t="s">
        <v>731</v>
      </c>
      <c r="I65" s="263" t="s">
        <v>731</v>
      </c>
      <c r="J65" s="264" t="s">
        <v>15</v>
      </c>
      <c r="K65" s="263" t="s">
        <v>22</v>
      </c>
      <c r="L65" s="264" t="s">
        <v>15</v>
      </c>
      <c r="M65" s="263" t="s">
        <v>137</v>
      </c>
      <c r="N65" s="263" t="s">
        <v>45</v>
      </c>
      <c r="O65" s="260" t="s">
        <v>15</v>
      </c>
      <c r="P65" s="264" t="s">
        <v>15</v>
      </c>
      <c r="Q65" s="265" t="s">
        <v>615</v>
      </c>
      <c r="R65" s="87" t="s">
        <v>15</v>
      </c>
    </row>
    <row r="66" spans="3:18" x14ac:dyDescent="0.35">
      <c r="C66" s="54" t="s">
        <v>546</v>
      </c>
      <c r="D66" s="263"/>
      <c r="E66" s="264"/>
      <c r="F66" s="263"/>
      <c r="G66" s="264"/>
      <c r="H66" s="263"/>
      <c r="I66" s="263"/>
      <c r="J66" s="264"/>
      <c r="K66" s="263"/>
      <c r="L66" s="264"/>
      <c r="M66" s="263"/>
      <c r="N66" s="263" t="s">
        <v>651</v>
      </c>
      <c r="O66" s="261" t="s">
        <v>652</v>
      </c>
      <c r="P66" s="264" t="s">
        <v>15</v>
      </c>
      <c r="Q66" s="265"/>
      <c r="R66" s="87"/>
    </row>
    <row r="67" spans="3:18" x14ac:dyDescent="0.35">
      <c r="C67" s="54" t="s">
        <v>493</v>
      </c>
      <c r="D67" s="259" t="s">
        <v>368</v>
      </c>
      <c r="E67" s="260" t="s">
        <v>15</v>
      </c>
      <c r="F67" s="259" t="s">
        <v>368</v>
      </c>
      <c r="G67" s="260" t="s">
        <v>15</v>
      </c>
      <c r="H67" s="259" t="s">
        <v>368</v>
      </c>
      <c r="I67" s="259" t="s">
        <v>368</v>
      </c>
      <c r="J67" s="260" t="s">
        <v>15</v>
      </c>
      <c r="K67" s="260" t="s">
        <v>15</v>
      </c>
      <c r="L67" s="260"/>
      <c r="M67" s="260" t="s">
        <v>627</v>
      </c>
      <c r="N67" s="259" t="s">
        <v>551</v>
      </c>
      <c r="O67" s="259" t="s">
        <v>15</v>
      </c>
      <c r="P67" s="260" t="s">
        <v>15</v>
      </c>
      <c r="Q67" s="262" t="s">
        <v>616</v>
      </c>
      <c r="R67" t="s">
        <v>15</v>
      </c>
    </row>
    <row r="68" spans="3:18" x14ac:dyDescent="0.35">
      <c r="C68" s="54" t="s">
        <v>552</v>
      </c>
      <c r="D68" s="260"/>
      <c r="E68" s="260"/>
      <c r="F68" s="260"/>
      <c r="G68" s="260" t="s">
        <v>15</v>
      </c>
      <c r="H68" s="259" t="s">
        <v>368</v>
      </c>
      <c r="I68" s="259" t="s">
        <v>368</v>
      </c>
      <c r="J68" s="260" t="s">
        <v>15</v>
      </c>
      <c r="K68" s="259" t="s">
        <v>553</v>
      </c>
      <c r="L68" s="260" t="s">
        <v>15</v>
      </c>
      <c r="M68" s="259" t="s">
        <v>617</v>
      </c>
      <c r="N68" s="259" t="s">
        <v>15</v>
      </c>
      <c r="O68" s="259" t="s">
        <v>15</v>
      </c>
      <c r="P68" s="260" t="s">
        <v>15</v>
      </c>
      <c r="Q68" s="262" t="s">
        <v>616</v>
      </c>
      <c r="R68" t="s">
        <v>15</v>
      </c>
    </row>
    <row r="69" spans="3:18" x14ac:dyDescent="0.35">
      <c r="C69" s="54" t="s">
        <v>494</v>
      </c>
      <c r="D69" s="263" t="s">
        <v>368</v>
      </c>
      <c r="E69" s="264" t="s">
        <v>15</v>
      </c>
      <c r="F69" s="263" t="s">
        <v>368</v>
      </c>
      <c r="G69" s="264" t="s">
        <v>15</v>
      </c>
      <c r="H69" s="263" t="s">
        <v>368</v>
      </c>
      <c r="I69" s="263" t="s">
        <v>368</v>
      </c>
      <c r="J69" s="264" t="s">
        <v>15</v>
      </c>
      <c r="K69" s="263" t="s">
        <v>19</v>
      </c>
      <c r="L69" s="264" t="s">
        <v>15</v>
      </c>
      <c r="M69" s="264"/>
      <c r="N69" s="263" t="s">
        <v>47</v>
      </c>
      <c r="O69" s="263" t="s">
        <v>15</v>
      </c>
      <c r="P69" s="264" t="s">
        <v>554</v>
      </c>
      <c r="Q69" s="265" t="s">
        <v>618</v>
      </c>
      <c r="R69" s="87" t="s">
        <v>15</v>
      </c>
    </row>
    <row r="70" spans="3:18" x14ac:dyDescent="0.35">
      <c r="C70" s="54" t="s">
        <v>495</v>
      </c>
      <c r="D70" s="259" t="s">
        <v>368</v>
      </c>
      <c r="E70" s="260" t="s">
        <v>15</v>
      </c>
      <c r="F70" s="259" t="s">
        <v>368</v>
      </c>
      <c r="G70" s="260" t="s">
        <v>15</v>
      </c>
      <c r="H70" s="259" t="s">
        <v>368</v>
      </c>
      <c r="I70" s="259" t="s">
        <v>368</v>
      </c>
      <c r="J70" s="260" t="s">
        <v>15</v>
      </c>
      <c r="K70" s="259" t="s">
        <v>148</v>
      </c>
      <c r="L70" s="259" t="s">
        <v>217</v>
      </c>
      <c r="M70" s="260" t="s">
        <v>218</v>
      </c>
      <c r="N70" s="259" t="s">
        <v>35</v>
      </c>
      <c r="O70" s="259" t="s">
        <v>15</v>
      </c>
      <c r="P70" s="260" t="s">
        <v>15</v>
      </c>
      <c r="Q70" s="262" t="s">
        <v>148</v>
      </c>
      <c r="R70" t="s">
        <v>15</v>
      </c>
    </row>
    <row r="71" spans="3:18" x14ac:dyDescent="0.35">
      <c r="C71" s="54" t="s">
        <v>496</v>
      </c>
      <c r="D71" s="263" t="s">
        <v>368</v>
      </c>
      <c r="E71" s="264" t="s">
        <v>15</v>
      </c>
      <c r="F71" s="263" t="s">
        <v>368</v>
      </c>
      <c r="G71" s="264" t="s">
        <v>15</v>
      </c>
      <c r="H71" s="263" t="s">
        <v>368</v>
      </c>
      <c r="I71" s="263" t="s">
        <v>368</v>
      </c>
      <c r="J71" s="264" t="s">
        <v>15</v>
      </c>
      <c r="K71" s="263" t="s">
        <v>558</v>
      </c>
      <c r="L71" s="264" t="s">
        <v>15</v>
      </c>
      <c r="M71" s="263" t="s">
        <v>561</v>
      </c>
      <c r="N71" s="264"/>
      <c r="O71" s="263" t="s">
        <v>15</v>
      </c>
      <c r="P71" s="264"/>
      <c r="Q71" s="265" t="s">
        <v>619</v>
      </c>
      <c r="R71" s="87" t="s">
        <v>15</v>
      </c>
    </row>
    <row r="72" spans="3:18" x14ac:dyDescent="0.35">
      <c r="C72" s="54" t="s">
        <v>497</v>
      </c>
      <c r="D72" s="259" t="s">
        <v>368</v>
      </c>
      <c r="E72" s="260" t="s">
        <v>15</v>
      </c>
      <c r="F72" s="259" t="s">
        <v>368</v>
      </c>
      <c r="G72" s="260" t="s">
        <v>15</v>
      </c>
      <c r="H72" s="259" t="s">
        <v>368</v>
      </c>
      <c r="I72" s="259" t="s">
        <v>368</v>
      </c>
      <c r="J72" s="260" t="s">
        <v>15</v>
      </c>
      <c r="K72" s="259" t="s">
        <v>563</v>
      </c>
      <c r="L72" s="260" t="s">
        <v>15</v>
      </c>
      <c r="M72" s="259" t="s">
        <v>565</v>
      </c>
      <c r="N72" s="259" t="s">
        <v>562</v>
      </c>
      <c r="O72" s="260" t="s">
        <v>15</v>
      </c>
      <c r="P72" s="260" t="s">
        <v>15</v>
      </c>
      <c r="Q72" s="262" t="s">
        <v>620</v>
      </c>
      <c r="R72" t="s">
        <v>15</v>
      </c>
    </row>
    <row r="73" spans="3:18" x14ac:dyDescent="0.35">
      <c r="C73" s="54" t="s">
        <v>498</v>
      </c>
      <c r="D73" s="263" t="s">
        <v>368</v>
      </c>
      <c r="E73" s="264" t="s">
        <v>15</v>
      </c>
      <c r="F73" s="263" t="s">
        <v>368</v>
      </c>
      <c r="G73" s="264" t="s">
        <v>15</v>
      </c>
      <c r="H73" s="263" t="s">
        <v>567</v>
      </c>
      <c r="I73" s="263" t="s">
        <v>567</v>
      </c>
      <c r="J73" s="264" t="s">
        <v>15</v>
      </c>
      <c r="K73" s="263" t="s">
        <v>88</v>
      </c>
      <c r="L73" s="263" t="s">
        <v>217</v>
      </c>
      <c r="M73" s="264" t="s">
        <v>218</v>
      </c>
      <c r="N73" s="264"/>
      <c r="O73" s="264" t="s">
        <v>15</v>
      </c>
      <c r="P73" s="264" t="s">
        <v>15</v>
      </c>
      <c r="Q73" s="266" t="s">
        <v>622</v>
      </c>
      <c r="R73" s="87" t="s">
        <v>15</v>
      </c>
    </row>
    <row r="74" spans="3:18" x14ac:dyDescent="0.35">
      <c r="C74" s="54" t="s">
        <v>822</v>
      </c>
      <c r="D74" s="263" t="s">
        <v>368</v>
      </c>
      <c r="E74" s="264" t="s">
        <v>15</v>
      </c>
      <c r="F74" s="263" t="s">
        <v>368</v>
      </c>
      <c r="G74" s="264" t="s">
        <v>15</v>
      </c>
      <c r="H74" s="263" t="s">
        <v>368</v>
      </c>
      <c r="I74" s="263" t="s">
        <v>368</v>
      </c>
      <c r="J74" s="264" t="s">
        <v>15</v>
      </c>
      <c r="K74" s="264" t="s">
        <v>570</v>
      </c>
      <c r="L74" s="264" t="s">
        <v>15</v>
      </c>
      <c r="M74" s="264" t="s">
        <v>15</v>
      </c>
      <c r="N74" s="263" t="s">
        <v>41</v>
      </c>
      <c r="O74" s="264" t="s">
        <v>15</v>
      </c>
      <c r="P74" s="264" t="s">
        <v>15</v>
      </c>
      <c r="Q74" s="265" t="s">
        <v>621</v>
      </c>
      <c r="R74" s="87" t="s">
        <v>15</v>
      </c>
    </row>
    <row r="75" spans="3:18" x14ac:dyDescent="0.35">
      <c r="C75" s="54" t="s">
        <v>566</v>
      </c>
      <c r="D75" s="263"/>
      <c r="E75" s="264"/>
      <c r="F75" s="263"/>
      <c r="G75" s="264"/>
      <c r="H75" s="263"/>
      <c r="I75" s="263"/>
      <c r="J75" s="264"/>
      <c r="K75" s="264"/>
      <c r="L75" s="264"/>
      <c r="M75" s="264"/>
      <c r="N75" s="263" t="s">
        <v>15</v>
      </c>
      <c r="O75" s="264"/>
      <c r="P75" s="264"/>
      <c r="Q75" s="265" t="s">
        <v>567</v>
      </c>
      <c r="R75" s="87" t="s">
        <v>15</v>
      </c>
    </row>
    <row r="76" spans="3:18" x14ac:dyDescent="0.35">
      <c r="C76" s="54" t="s">
        <v>791</v>
      </c>
      <c r="D76" s="295"/>
      <c r="E76" s="260"/>
      <c r="F76" s="295"/>
      <c r="G76" s="260"/>
      <c r="H76" s="295" t="s">
        <v>796</v>
      </c>
      <c r="I76" s="295" t="s">
        <v>15</v>
      </c>
      <c r="J76" s="260"/>
      <c r="K76" s="296" t="s">
        <v>792</v>
      </c>
      <c r="L76" s="260" t="s">
        <v>15</v>
      </c>
      <c r="M76" s="260"/>
      <c r="N76" s="295" t="s">
        <v>793</v>
      </c>
      <c r="O76" s="260" t="s">
        <v>15</v>
      </c>
      <c r="P76" s="260"/>
      <c r="Q76" s="297" t="s">
        <v>794</v>
      </c>
      <c r="R76" s="87" t="s">
        <v>795</v>
      </c>
    </row>
    <row r="77" spans="3:18" x14ac:dyDescent="0.35">
      <c r="C77" s="54" t="s">
        <v>499</v>
      </c>
      <c r="D77" s="259" t="s">
        <v>368</v>
      </c>
      <c r="E77" s="260" t="s">
        <v>15</v>
      </c>
      <c r="F77" s="259" t="s">
        <v>368</v>
      </c>
      <c r="G77" s="260" t="s">
        <v>15</v>
      </c>
      <c r="H77" s="259" t="s">
        <v>349</v>
      </c>
      <c r="I77" s="259" t="s">
        <v>368</v>
      </c>
      <c r="J77" s="260" t="s">
        <v>15</v>
      </c>
      <c r="K77" s="259" t="s">
        <v>339</v>
      </c>
      <c r="L77" s="259" t="s">
        <v>217</v>
      </c>
      <c r="M77" s="260" t="s">
        <v>218</v>
      </c>
      <c r="N77" s="259" t="s">
        <v>44</v>
      </c>
      <c r="O77" s="260" t="s">
        <v>15</v>
      </c>
      <c r="P77" s="260" t="s">
        <v>15</v>
      </c>
      <c r="Q77" s="262" t="s">
        <v>339</v>
      </c>
      <c r="R77" t="s">
        <v>15</v>
      </c>
    </row>
    <row r="78" spans="3:18" x14ac:dyDescent="0.35">
      <c r="C78" s="54" t="s">
        <v>571</v>
      </c>
      <c r="D78" s="259"/>
      <c r="E78" s="260"/>
      <c r="F78" s="259"/>
      <c r="G78" s="260"/>
      <c r="H78" s="259"/>
      <c r="I78" s="259"/>
      <c r="J78" s="260"/>
      <c r="K78" s="259"/>
      <c r="L78" s="259"/>
      <c r="M78" s="260"/>
      <c r="N78" s="259"/>
      <c r="O78" s="260"/>
      <c r="P78" s="260"/>
      <c r="Q78" s="262" t="s">
        <v>666</v>
      </c>
      <c r="R78" s="87" t="s">
        <v>15</v>
      </c>
    </row>
    <row r="79" spans="3:18" x14ac:dyDescent="0.35">
      <c r="C79" s="54" t="s">
        <v>500</v>
      </c>
      <c r="D79" s="263" t="s">
        <v>368</v>
      </c>
      <c r="E79" s="264" t="s">
        <v>15</v>
      </c>
      <c r="F79" s="263" t="s">
        <v>368</v>
      </c>
      <c r="G79" s="264" t="s">
        <v>15</v>
      </c>
      <c r="H79" s="263" t="s">
        <v>368</v>
      </c>
      <c r="I79" s="263" t="s">
        <v>368</v>
      </c>
      <c r="J79" s="264" t="s">
        <v>15</v>
      </c>
      <c r="K79" s="267" t="s">
        <v>629</v>
      </c>
      <c r="L79" s="264" t="s">
        <v>15</v>
      </c>
      <c r="M79" s="264" t="s">
        <v>15</v>
      </c>
      <c r="N79" s="263" t="s">
        <v>653</v>
      </c>
      <c r="O79" s="264" t="s">
        <v>15</v>
      </c>
      <c r="P79" s="264" t="s">
        <v>15</v>
      </c>
      <c r="Q79" s="265" t="s">
        <v>628</v>
      </c>
      <c r="R79" s="87" t="s">
        <v>15</v>
      </c>
    </row>
    <row r="80" spans="3:18" x14ac:dyDescent="0.35">
      <c r="C80" s="54" t="s">
        <v>501</v>
      </c>
      <c r="D80" s="259" t="s">
        <v>368</v>
      </c>
      <c r="E80" s="260" t="s">
        <v>15</v>
      </c>
      <c r="F80" s="259" t="s">
        <v>368</v>
      </c>
      <c r="G80" s="260" t="s">
        <v>15</v>
      </c>
      <c r="H80" s="259" t="s">
        <v>368</v>
      </c>
      <c r="I80" s="259" t="s">
        <v>368</v>
      </c>
      <c r="J80" s="260" t="s">
        <v>15</v>
      </c>
      <c r="K80" s="268" t="s">
        <v>15</v>
      </c>
      <c r="L80" s="260" t="s">
        <v>15</v>
      </c>
      <c r="M80" s="260" t="s">
        <v>15</v>
      </c>
      <c r="N80" s="260" t="s">
        <v>15</v>
      </c>
      <c r="O80" s="260" t="s">
        <v>15</v>
      </c>
      <c r="P80" s="260" t="s">
        <v>15</v>
      </c>
      <c r="Q80" s="228" t="s">
        <v>15</v>
      </c>
      <c r="R80" s="87" t="s">
        <v>15</v>
      </c>
    </row>
    <row r="81" spans="3:29" x14ac:dyDescent="0.35">
      <c r="C81" s="54" t="s">
        <v>502</v>
      </c>
      <c r="D81" s="259" t="s">
        <v>368</v>
      </c>
      <c r="E81" s="260" t="s">
        <v>15</v>
      </c>
      <c r="F81" s="259" t="s">
        <v>368</v>
      </c>
      <c r="G81" s="260" t="s">
        <v>15</v>
      </c>
      <c r="H81" s="259" t="s">
        <v>368</v>
      </c>
      <c r="I81" s="259" t="s">
        <v>368</v>
      </c>
      <c r="J81" s="260" t="s">
        <v>15</v>
      </c>
      <c r="K81" s="268" t="s">
        <v>15</v>
      </c>
      <c r="L81" s="260" t="s">
        <v>15</v>
      </c>
      <c r="M81" s="260" t="s">
        <v>15</v>
      </c>
      <c r="N81" s="260" t="s">
        <v>15</v>
      </c>
      <c r="O81" s="260" t="s">
        <v>15</v>
      </c>
      <c r="P81" s="260" t="s">
        <v>15</v>
      </c>
      <c r="Q81" s="228" t="s">
        <v>15</v>
      </c>
      <c r="R81" s="87" t="s">
        <v>15</v>
      </c>
    </row>
    <row r="82" spans="3:29" x14ac:dyDescent="0.35">
      <c r="C82" s="54" t="s">
        <v>503</v>
      </c>
      <c r="D82" s="259" t="s">
        <v>368</v>
      </c>
      <c r="E82" s="260" t="s">
        <v>15</v>
      </c>
      <c r="F82" s="259" t="s">
        <v>368</v>
      </c>
      <c r="G82" s="260" t="s">
        <v>15</v>
      </c>
      <c r="H82" s="259" t="s">
        <v>368</v>
      </c>
      <c r="I82" s="259" t="s">
        <v>368</v>
      </c>
      <c r="J82" s="260" t="s">
        <v>15</v>
      </c>
      <c r="K82" s="268" t="s">
        <v>15</v>
      </c>
      <c r="L82" s="260" t="s">
        <v>15</v>
      </c>
      <c r="M82" s="260" t="s">
        <v>15</v>
      </c>
      <c r="N82" s="260" t="s">
        <v>15</v>
      </c>
      <c r="O82" s="260" t="s">
        <v>15</v>
      </c>
      <c r="P82" s="260" t="s">
        <v>15</v>
      </c>
      <c r="Q82" s="228" t="s">
        <v>15</v>
      </c>
      <c r="R82" s="87" t="s">
        <v>15</v>
      </c>
    </row>
    <row r="83" spans="3:29" x14ac:dyDescent="0.35">
      <c r="C83" s="54" t="s">
        <v>504</v>
      </c>
      <c r="D83" s="259" t="s">
        <v>368</v>
      </c>
      <c r="E83" s="260" t="s">
        <v>15</v>
      </c>
      <c r="F83" s="259" t="s">
        <v>368</v>
      </c>
      <c r="G83" s="260" t="s">
        <v>15</v>
      </c>
      <c r="H83" s="259" t="s">
        <v>368</v>
      </c>
      <c r="I83" s="259" t="s">
        <v>368</v>
      </c>
      <c r="J83" s="260" t="s">
        <v>15</v>
      </c>
      <c r="K83" s="268" t="s">
        <v>15</v>
      </c>
      <c r="L83" s="260" t="s">
        <v>15</v>
      </c>
      <c r="M83" s="260" t="s">
        <v>15</v>
      </c>
      <c r="N83" s="260" t="s">
        <v>15</v>
      </c>
      <c r="O83" s="260" t="s">
        <v>15</v>
      </c>
      <c r="P83" s="260" t="s">
        <v>15</v>
      </c>
      <c r="Q83" s="228" t="s">
        <v>15</v>
      </c>
      <c r="R83" s="87" t="s">
        <v>15</v>
      </c>
    </row>
    <row r="84" spans="3:29" x14ac:dyDescent="0.35">
      <c r="C84" s="54" t="s">
        <v>505</v>
      </c>
      <c r="D84" s="259" t="s">
        <v>368</v>
      </c>
      <c r="E84" s="260" t="s">
        <v>15</v>
      </c>
      <c r="F84" s="259" t="s">
        <v>368</v>
      </c>
      <c r="G84" s="260" t="s">
        <v>15</v>
      </c>
      <c r="H84" s="259" t="s">
        <v>368</v>
      </c>
      <c r="I84" s="259" t="s">
        <v>368</v>
      </c>
      <c r="J84" s="260" t="s">
        <v>15</v>
      </c>
      <c r="K84" s="268" t="s">
        <v>15</v>
      </c>
      <c r="L84" s="260" t="s">
        <v>15</v>
      </c>
      <c r="M84" s="260" t="s">
        <v>15</v>
      </c>
      <c r="N84" s="260" t="s">
        <v>15</v>
      </c>
      <c r="O84" s="260" t="s">
        <v>15</v>
      </c>
      <c r="P84" s="260" t="s">
        <v>15</v>
      </c>
      <c r="Q84" s="228" t="s">
        <v>15</v>
      </c>
      <c r="R84" s="87" t="s">
        <v>15</v>
      </c>
    </row>
    <row r="85" spans="3:29" x14ac:dyDescent="0.35">
      <c r="C85" s="54" t="s">
        <v>506</v>
      </c>
      <c r="D85" s="259" t="s">
        <v>368</v>
      </c>
      <c r="E85" s="260" t="s">
        <v>15</v>
      </c>
      <c r="F85" s="259" t="s">
        <v>368</v>
      </c>
      <c r="G85" s="260" t="s">
        <v>15</v>
      </c>
      <c r="H85" s="259" t="s">
        <v>368</v>
      </c>
      <c r="I85" s="259" t="s">
        <v>368</v>
      </c>
      <c r="J85" s="260" t="s">
        <v>15</v>
      </c>
      <c r="K85" s="269" t="s">
        <v>635</v>
      </c>
      <c r="L85" s="260" t="s">
        <v>15</v>
      </c>
      <c r="M85" s="259" t="s">
        <v>636</v>
      </c>
      <c r="N85" s="259" t="s">
        <v>631</v>
      </c>
      <c r="O85" s="260" t="s">
        <v>15</v>
      </c>
      <c r="P85" s="260" t="s">
        <v>15</v>
      </c>
      <c r="Q85" s="262" t="s">
        <v>637</v>
      </c>
      <c r="R85" t="s">
        <v>15</v>
      </c>
      <c r="S85" s="177" t="s">
        <v>632</v>
      </c>
      <c r="T85" s="9" t="s">
        <v>633</v>
      </c>
      <c r="U85">
        <v>35.27396195</v>
      </c>
      <c r="W85" t="s">
        <v>153</v>
      </c>
      <c r="X85" s="82">
        <v>45056</v>
      </c>
      <c r="Z85">
        <v>1106.7</v>
      </c>
      <c r="AA85" t="s">
        <v>634</v>
      </c>
      <c r="AB85">
        <f>U85*Z85</f>
        <v>39037.693690065003</v>
      </c>
      <c r="AC85" t="s">
        <v>158</v>
      </c>
    </row>
    <row r="86" spans="3:29" x14ac:dyDescent="0.35">
      <c r="C86" s="54" t="s">
        <v>507</v>
      </c>
      <c r="D86" s="259" t="s">
        <v>368</v>
      </c>
      <c r="E86" s="260" t="s">
        <v>15</v>
      </c>
      <c r="F86" s="259" t="s">
        <v>368</v>
      </c>
      <c r="G86" s="260" t="s">
        <v>15</v>
      </c>
      <c r="H86" s="259" t="s">
        <v>368</v>
      </c>
      <c r="I86" s="259" t="s">
        <v>368</v>
      </c>
      <c r="J86" s="260" t="s">
        <v>15</v>
      </c>
      <c r="K86" s="269" t="s">
        <v>641</v>
      </c>
      <c r="L86" s="260" t="s">
        <v>15</v>
      </c>
      <c r="M86" s="260" t="s">
        <v>15</v>
      </c>
      <c r="N86" s="259" t="s">
        <v>630</v>
      </c>
      <c r="O86" s="260" t="s">
        <v>15</v>
      </c>
      <c r="P86" s="260" t="s">
        <v>15</v>
      </c>
      <c r="Q86" s="262" t="s">
        <v>642</v>
      </c>
      <c r="R86" t="s">
        <v>15</v>
      </c>
      <c r="S86" s="177" t="s">
        <v>638</v>
      </c>
      <c r="T86">
        <v>600</v>
      </c>
      <c r="U86" s="177" t="s">
        <v>639</v>
      </c>
      <c r="V86" s="177"/>
      <c r="W86" t="s">
        <v>640</v>
      </c>
      <c r="Y86">
        <f>CostOfRawMaterialsBEV!H35</f>
        <v>0.142124</v>
      </c>
      <c r="Z86" t="s">
        <v>153</v>
      </c>
      <c r="AA86" s="82">
        <v>45056</v>
      </c>
    </row>
    <row r="87" spans="3:29" x14ac:dyDescent="0.35">
      <c r="C87" s="54" t="s">
        <v>508</v>
      </c>
      <c r="D87" s="259" t="s">
        <v>368</v>
      </c>
      <c r="E87" s="260" t="s">
        <v>15</v>
      </c>
      <c r="F87" s="259" t="s">
        <v>368</v>
      </c>
      <c r="G87" s="260" t="s">
        <v>15</v>
      </c>
      <c r="H87" s="259" t="s">
        <v>368</v>
      </c>
      <c r="I87" s="259" t="s">
        <v>368</v>
      </c>
      <c r="J87" s="260" t="s">
        <v>15</v>
      </c>
      <c r="K87" s="269" t="s">
        <v>648</v>
      </c>
      <c r="L87" s="260" t="s">
        <v>15</v>
      </c>
      <c r="M87" s="260" t="s">
        <v>15</v>
      </c>
      <c r="N87" s="260" t="s">
        <v>15</v>
      </c>
      <c r="O87" s="260" t="s">
        <v>15</v>
      </c>
      <c r="P87" s="260" t="s">
        <v>15</v>
      </c>
      <c r="Q87" s="228" t="s">
        <v>15</v>
      </c>
      <c r="R87" t="s">
        <v>15</v>
      </c>
    </row>
    <row r="88" spans="3:29" x14ac:dyDescent="0.35">
      <c r="C88" s="54" t="s">
        <v>547</v>
      </c>
      <c r="D88" s="260" t="s">
        <v>15</v>
      </c>
      <c r="E88" s="259" t="s">
        <v>368</v>
      </c>
      <c r="F88" s="260" t="s">
        <v>15</v>
      </c>
      <c r="G88" s="259" t="s">
        <v>368</v>
      </c>
      <c r="H88" s="260" t="s">
        <v>570</v>
      </c>
      <c r="I88" s="260" t="s">
        <v>15</v>
      </c>
      <c r="J88" s="260" t="s">
        <v>15</v>
      </c>
      <c r="K88" s="259" t="s">
        <v>23</v>
      </c>
      <c r="L88" s="260" t="s">
        <v>15</v>
      </c>
      <c r="M88" s="259" t="s">
        <v>131</v>
      </c>
      <c r="N88" s="259" t="s">
        <v>50</v>
      </c>
      <c r="O88" s="260" t="s">
        <v>15</v>
      </c>
      <c r="P88" s="260" t="s">
        <v>15</v>
      </c>
      <c r="Q88" s="262" t="s">
        <v>643</v>
      </c>
      <c r="R88" t="s">
        <v>15</v>
      </c>
    </row>
    <row r="89" spans="3:29" x14ac:dyDescent="0.35">
      <c r="C89" s="54" t="s">
        <v>577</v>
      </c>
      <c r="D89" s="260"/>
      <c r="E89" s="259"/>
      <c r="F89" s="260"/>
      <c r="G89" s="259"/>
      <c r="H89" s="259" t="s">
        <v>579</v>
      </c>
      <c r="I89" s="260" t="s">
        <v>15</v>
      </c>
      <c r="J89" s="260" t="s">
        <v>15</v>
      </c>
      <c r="K89" s="260"/>
      <c r="L89" s="260"/>
      <c r="M89" s="259"/>
      <c r="N89" s="259" t="s">
        <v>134</v>
      </c>
      <c r="O89" s="260" t="s">
        <v>15</v>
      </c>
      <c r="P89" s="260" t="s">
        <v>15</v>
      </c>
      <c r="Q89" s="262" t="s">
        <v>644</v>
      </c>
      <c r="R89" t="s">
        <v>15</v>
      </c>
    </row>
    <row r="90" spans="3:29" x14ac:dyDescent="0.35">
      <c r="C90" s="54" t="s">
        <v>513</v>
      </c>
      <c r="D90" s="260" t="s">
        <v>15</v>
      </c>
      <c r="E90" s="259" t="s">
        <v>368</v>
      </c>
      <c r="F90" s="260" t="s">
        <v>15</v>
      </c>
      <c r="G90" s="259" t="s">
        <v>368</v>
      </c>
      <c r="H90" s="259" t="s">
        <v>580</v>
      </c>
      <c r="I90" s="260" t="s">
        <v>15</v>
      </c>
      <c r="J90" s="260" t="s">
        <v>15</v>
      </c>
      <c r="K90" s="259" t="s">
        <v>596</v>
      </c>
      <c r="L90" s="260" t="s">
        <v>15</v>
      </c>
      <c r="M90" s="260"/>
      <c r="N90" s="259" t="s">
        <v>597</v>
      </c>
      <c r="O90" s="260" t="s">
        <v>15</v>
      </c>
      <c r="P90" s="260" t="s">
        <v>15</v>
      </c>
      <c r="Q90" s="262" t="s">
        <v>598</v>
      </c>
      <c r="R90" t="s">
        <v>15</v>
      </c>
    </row>
    <row r="91" spans="3:29" x14ac:dyDescent="0.35">
      <c r="C91" s="54" t="s">
        <v>514</v>
      </c>
      <c r="D91" s="260" t="s">
        <v>15</v>
      </c>
      <c r="E91" s="259" t="s">
        <v>368</v>
      </c>
      <c r="F91" s="260" t="s">
        <v>15</v>
      </c>
      <c r="G91" s="259" t="s">
        <v>368</v>
      </c>
      <c r="H91" s="259" t="s">
        <v>581</v>
      </c>
      <c r="I91" s="260" t="s">
        <v>15</v>
      </c>
      <c r="J91" s="260" t="s">
        <v>15</v>
      </c>
      <c r="K91" s="259" t="s">
        <v>244</v>
      </c>
      <c r="L91" s="260" t="s">
        <v>15</v>
      </c>
      <c r="M91" s="260"/>
      <c r="N91" s="259" t="s">
        <v>476</v>
      </c>
      <c r="O91" s="260" t="s">
        <v>15</v>
      </c>
      <c r="P91" s="260" t="s">
        <v>15</v>
      </c>
      <c r="Q91" s="262" t="s">
        <v>599</v>
      </c>
      <c r="R91" t="s">
        <v>15</v>
      </c>
    </row>
    <row r="92" spans="3:29" x14ac:dyDescent="0.35">
      <c r="C92" s="54" t="s">
        <v>511</v>
      </c>
      <c r="D92" s="259" t="s">
        <v>15</v>
      </c>
      <c r="E92" s="260" t="s">
        <v>15</v>
      </c>
      <c r="F92" s="259" t="s">
        <v>15</v>
      </c>
      <c r="G92" s="260" t="s">
        <v>15</v>
      </c>
      <c r="H92" s="260" t="s">
        <v>15</v>
      </c>
      <c r="I92" s="260" t="s">
        <v>15</v>
      </c>
      <c r="J92" s="260" t="s">
        <v>15</v>
      </c>
      <c r="K92" s="260" t="s">
        <v>15</v>
      </c>
      <c r="L92" s="260" t="s">
        <v>15</v>
      </c>
      <c r="M92" s="260" t="s">
        <v>15</v>
      </c>
      <c r="N92" s="260" t="s">
        <v>15</v>
      </c>
      <c r="O92" s="260" t="s">
        <v>15</v>
      </c>
      <c r="P92" s="260" t="s">
        <v>15</v>
      </c>
      <c r="Q92" s="228" t="s">
        <v>15</v>
      </c>
    </row>
    <row r="93" spans="3:29" x14ac:dyDescent="0.35">
      <c r="C93" s="54" t="s">
        <v>572</v>
      </c>
      <c r="D93" s="259" t="s">
        <v>368</v>
      </c>
      <c r="E93" s="260" t="s">
        <v>15</v>
      </c>
      <c r="F93" s="259" t="s">
        <v>15</v>
      </c>
      <c r="G93" s="260" t="s">
        <v>15</v>
      </c>
      <c r="H93" s="260" t="s">
        <v>15</v>
      </c>
      <c r="I93" s="260" t="s">
        <v>15</v>
      </c>
      <c r="J93" s="260" t="s">
        <v>15</v>
      </c>
      <c r="K93" s="260" t="s">
        <v>15</v>
      </c>
      <c r="L93" s="260" t="s">
        <v>15</v>
      </c>
      <c r="M93" s="260" t="s">
        <v>15</v>
      </c>
      <c r="N93" s="260" t="s">
        <v>15</v>
      </c>
      <c r="O93" s="260" t="s">
        <v>15</v>
      </c>
      <c r="P93" s="260" t="s">
        <v>15</v>
      </c>
      <c r="Q93" s="228" t="s">
        <v>15</v>
      </c>
    </row>
    <row r="94" spans="3:29" x14ac:dyDescent="0.35">
      <c r="C94" s="54" t="s">
        <v>573</v>
      </c>
      <c r="D94" s="268" t="s">
        <v>576</v>
      </c>
      <c r="E94" s="268" t="s">
        <v>576</v>
      </c>
      <c r="F94" s="268" t="s">
        <v>576</v>
      </c>
      <c r="G94" s="268" t="s">
        <v>576</v>
      </c>
      <c r="H94" s="260" t="s">
        <v>570</v>
      </c>
      <c r="I94" s="260" t="s">
        <v>15</v>
      </c>
      <c r="J94" s="260" t="s">
        <v>15</v>
      </c>
      <c r="K94" s="259" t="s">
        <v>190</v>
      </c>
      <c r="L94" s="260" t="s">
        <v>15</v>
      </c>
      <c r="M94" s="260" t="s">
        <v>570</v>
      </c>
      <c r="N94" s="259" t="s">
        <v>49</v>
      </c>
      <c r="O94" s="260" t="s">
        <v>15</v>
      </c>
      <c r="P94" s="260" t="s">
        <v>15</v>
      </c>
      <c r="Q94" s="262" t="s">
        <v>645</v>
      </c>
      <c r="R94" t="s">
        <v>15</v>
      </c>
    </row>
    <row r="95" spans="3:29" x14ac:dyDescent="0.35">
      <c r="C95" s="54" t="s">
        <v>587</v>
      </c>
      <c r="D95" s="268" t="s">
        <v>576</v>
      </c>
      <c r="E95" s="268" t="s">
        <v>576</v>
      </c>
      <c r="F95" s="268" t="s">
        <v>576</v>
      </c>
      <c r="G95" s="268" t="s">
        <v>576</v>
      </c>
      <c r="H95" s="259" t="s">
        <v>586</v>
      </c>
      <c r="I95" s="260" t="s">
        <v>15</v>
      </c>
      <c r="J95" s="260" t="s">
        <v>15</v>
      </c>
      <c r="K95" s="259" t="s">
        <v>146</v>
      </c>
      <c r="L95" s="260" t="s">
        <v>15</v>
      </c>
      <c r="M95" s="260"/>
      <c r="N95" s="260" t="s">
        <v>15</v>
      </c>
      <c r="O95" s="260" t="s">
        <v>15</v>
      </c>
      <c r="P95" s="260" t="s">
        <v>15</v>
      </c>
      <c r="Q95" s="262" t="s">
        <v>595</v>
      </c>
      <c r="R95" t="s">
        <v>15</v>
      </c>
    </row>
    <row r="96" spans="3:29" x14ac:dyDescent="0.35">
      <c r="C96" s="54" t="s">
        <v>574</v>
      </c>
      <c r="D96" s="268" t="s">
        <v>576</v>
      </c>
      <c r="E96" s="268" t="s">
        <v>576</v>
      </c>
      <c r="F96" s="268" t="s">
        <v>576</v>
      </c>
      <c r="G96" s="268" t="s">
        <v>576</v>
      </c>
      <c r="H96" s="260" t="s">
        <v>570</v>
      </c>
      <c r="I96" s="260" t="s">
        <v>15</v>
      </c>
      <c r="J96" s="260" t="s">
        <v>15</v>
      </c>
      <c r="K96" s="259" t="s">
        <v>236</v>
      </c>
      <c r="L96" s="260" t="s">
        <v>15</v>
      </c>
      <c r="M96" s="260" t="s">
        <v>570</v>
      </c>
      <c r="N96" s="259" t="s">
        <v>242</v>
      </c>
      <c r="O96" s="260" t="s">
        <v>15</v>
      </c>
      <c r="P96" s="260" t="s">
        <v>15</v>
      </c>
      <c r="Q96" s="262" t="s">
        <v>236</v>
      </c>
      <c r="R96" t="s">
        <v>15</v>
      </c>
    </row>
    <row r="97" spans="3:18" x14ac:dyDescent="0.35">
      <c r="C97" s="54" t="s">
        <v>575</v>
      </c>
      <c r="D97" s="268" t="s">
        <v>576</v>
      </c>
      <c r="E97" s="268" t="s">
        <v>576</v>
      </c>
      <c r="F97" s="268" t="s">
        <v>576</v>
      </c>
      <c r="G97" s="268" t="s">
        <v>576</v>
      </c>
      <c r="H97" s="259" t="s">
        <v>593</v>
      </c>
      <c r="I97" s="260" t="s">
        <v>15</v>
      </c>
      <c r="J97" s="260" t="s">
        <v>15</v>
      </c>
      <c r="K97" s="259" t="s">
        <v>239</v>
      </c>
      <c r="L97" s="260" t="s">
        <v>15</v>
      </c>
      <c r="M97" s="260"/>
      <c r="N97" s="260" t="s">
        <v>15</v>
      </c>
      <c r="O97" s="260" t="s">
        <v>15</v>
      </c>
      <c r="P97" s="260" t="s">
        <v>15</v>
      </c>
      <c r="Q97" s="262" t="s">
        <v>239</v>
      </c>
      <c r="R97" t="s">
        <v>15</v>
      </c>
    </row>
    <row r="98" spans="3:18" x14ac:dyDescent="0.35">
      <c r="C98" s="54" t="s">
        <v>765</v>
      </c>
      <c r="D98" s="268" t="s">
        <v>576</v>
      </c>
      <c r="E98" s="268" t="s">
        <v>576</v>
      </c>
      <c r="F98" s="268" t="s">
        <v>576</v>
      </c>
      <c r="G98" s="268" t="s">
        <v>576</v>
      </c>
      <c r="H98" s="259" t="s">
        <v>747</v>
      </c>
      <c r="I98" s="268" t="s">
        <v>15</v>
      </c>
      <c r="J98" s="268" t="s">
        <v>15</v>
      </c>
      <c r="K98" s="259" t="s">
        <v>28</v>
      </c>
      <c r="L98" s="260" t="s">
        <v>15</v>
      </c>
      <c r="M98" s="260"/>
      <c r="N98" s="270" t="s">
        <v>457</v>
      </c>
      <c r="O98" s="260" t="s">
        <v>15</v>
      </c>
      <c r="P98" s="260" t="s">
        <v>15</v>
      </c>
      <c r="Q98" s="262" t="s">
        <v>738</v>
      </c>
      <c r="R98" t="s">
        <v>15</v>
      </c>
    </row>
    <row r="99" spans="3:18" x14ac:dyDescent="0.35">
      <c r="C99" s="54" t="s">
        <v>771</v>
      </c>
      <c r="D99" s="268"/>
      <c r="E99" s="268"/>
      <c r="F99" s="268"/>
      <c r="G99" s="268"/>
      <c r="H99" s="259" t="s">
        <v>445</v>
      </c>
      <c r="I99" s="268" t="s">
        <v>15</v>
      </c>
      <c r="J99" s="268"/>
      <c r="K99" s="259" t="s">
        <v>445</v>
      </c>
      <c r="L99" s="260" t="s">
        <v>773</v>
      </c>
      <c r="M99" s="260"/>
      <c r="N99" s="270" t="s">
        <v>445</v>
      </c>
      <c r="O99" s="260" t="s">
        <v>15</v>
      </c>
      <c r="P99" s="260" t="s">
        <v>15</v>
      </c>
      <c r="Q99" s="262" t="s">
        <v>445</v>
      </c>
      <c r="R99" t="s">
        <v>15</v>
      </c>
    </row>
    <row r="100" spans="3:18" x14ac:dyDescent="0.35">
      <c r="C100" s="54" t="s">
        <v>759</v>
      </c>
      <c r="D100" s="268" t="s">
        <v>576</v>
      </c>
      <c r="E100" s="268" t="s">
        <v>576</v>
      </c>
      <c r="F100" s="268" t="s">
        <v>576</v>
      </c>
      <c r="G100" s="268" t="s">
        <v>576</v>
      </c>
      <c r="H100" s="259" t="s">
        <v>600</v>
      </c>
      <c r="I100" s="260" t="s">
        <v>15</v>
      </c>
      <c r="J100" s="260" t="s">
        <v>15</v>
      </c>
      <c r="K100" s="259" t="s">
        <v>149</v>
      </c>
      <c r="L100" s="260" t="s">
        <v>15</v>
      </c>
      <c r="M100" s="260"/>
      <c r="N100" s="259" t="s">
        <v>150</v>
      </c>
      <c r="O100" s="260" t="s">
        <v>758</v>
      </c>
      <c r="P100" s="260" t="s">
        <v>570</v>
      </c>
      <c r="Q100" s="262" t="s">
        <v>608</v>
      </c>
      <c r="R100" t="s">
        <v>15</v>
      </c>
    </row>
    <row r="101" spans="3:18" x14ac:dyDescent="0.35">
      <c r="C101" s="54" t="s">
        <v>762</v>
      </c>
      <c r="D101" s="268" t="s">
        <v>576</v>
      </c>
      <c r="E101" s="268" t="s">
        <v>576</v>
      </c>
      <c r="F101" s="268" t="s">
        <v>576</v>
      </c>
      <c r="G101" s="268" t="s">
        <v>576</v>
      </c>
      <c r="H101" s="259" t="s">
        <v>601</v>
      </c>
      <c r="I101" s="260" t="s">
        <v>15</v>
      </c>
      <c r="J101" s="260" t="s">
        <v>15</v>
      </c>
      <c r="K101" s="259" t="s">
        <v>151</v>
      </c>
      <c r="L101" s="260" t="s">
        <v>15</v>
      </c>
      <c r="M101" s="260"/>
      <c r="N101" s="259" t="s">
        <v>156</v>
      </c>
      <c r="O101" s="260" t="s">
        <v>760</v>
      </c>
      <c r="P101" s="260"/>
      <c r="Q101" s="262" t="s">
        <v>646</v>
      </c>
      <c r="R101" t="s">
        <v>15</v>
      </c>
    </row>
    <row r="102" spans="3:18" ht="15" thickBot="1" x14ac:dyDescent="0.4">
      <c r="C102" s="64" t="s">
        <v>766</v>
      </c>
      <c r="D102" s="271" t="s">
        <v>576</v>
      </c>
      <c r="E102" s="271" t="s">
        <v>576</v>
      </c>
      <c r="F102" s="271" t="s">
        <v>576</v>
      </c>
      <c r="G102" s="271" t="s">
        <v>576</v>
      </c>
      <c r="H102" s="272" t="s">
        <v>604</v>
      </c>
      <c r="I102" s="273" t="s">
        <v>15</v>
      </c>
      <c r="J102" s="273" t="s">
        <v>15</v>
      </c>
      <c r="K102" s="272" t="s">
        <v>164</v>
      </c>
      <c r="L102" s="273" t="s">
        <v>15</v>
      </c>
      <c r="M102" s="273"/>
      <c r="N102" s="272" t="s">
        <v>172</v>
      </c>
      <c r="O102" s="273" t="s">
        <v>761</v>
      </c>
      <c r="P102" s="273"/>
      <c r="Q102" s="274" t="s">
        <v>647</v>
      </c>
      <c r="R102" t="s">
        <v>15</v>
      </c>
    </row>
    <row r="103" spans="3:18" ht="15" thickTop="1" x14ac:dyDescent="0.35"/>
    <row r="104" spans="3:18" x14ac:dyDescent="0.35">
      <c r="F104" t="s">
        <v>602</v>
      </c>
      <c r="G104">
        <v>1241.82</v>
      </c>
      <c r="H104" t="s">
        <v>603</v>
      </c>
    </row>
    <row r="105" spans="3:18" x14ac:dyDescent="0.35">
      <c r="F105" t="s">
        <v>161</v>
      </c>
    </row>
    <row r="106" spans="3:18" x14ac:dyDescent="0.35">
      <c r="F106">
        <v>7.33</v>
      </c>
      <c r="G106" t="s">
        <v>86</v>
      </c>
      <c r="H106" s="9" t="s">
        <v>162</v>
      </c>
    </row>
    <row r="108" spans="3:18" x14ac:dyDescent="0.35">
      <c r="F108" t="s">
        <v>605</v>
      </c>
      <c r="I108" s="5">
        <v>1153820</v>
      </c>
    </row>
    <row r="109" spans="3:18" x14ac:dyDescent="0.35">
      <c r="F109" t="s">
        <v>606</v>
      </c>
      <c r="I109" s="5">
        <v>22048</v>
      </c>
    </row>
    <row r="110" spans="3:18" x14ac:dyDescent="0.35">
      <c r="F110" t="s">
        <v>607</v>
      </c>
      <c r="I110" s="225">
        <f>I109/F106</f>
        <v>3007.9126875852662</v>
      </c>
    </row>
  </sheetData>
  <hyperlinks>
    <hyperlink ref="A8" r:id="rId1" xr:uid="{0303728E-C5C7-4951-A957-19F99DA62B61}"/>
    <hyperlink ref="A10" r:id="rId2" xr:uid="{66FC4BC2-C913-4BE8-AD44-9BD3E25CF071}"/>
    <hyperlink ref="M62" r:id="rId3" xr:uid="{AEF21506-0050-4D11-B59F-100A3C11467F}"/>
    <hyperlink ref="N62" r:id="rId4" xr:uid="{E1807348-ED2D-4809-98D8-9688E376B157}"/>
    <hyperlink ref="K62" r:id="rId5" xr:uid="{1B6F9551-62E7-4EFB-B274-CF7BFF0AC5EB}"/>
    <hyperlink ref="I62" r:id="rId6" xr:uid="{ED5514BF-71F8-4F76-B99F-D00A80A992E0}"/>
    <hyperlink ref="H62" r:id="rId7" xr:uid="{12F76F0B-4E67-4C71-B055-6E4E72DDFB7A}"/>
    <hyperlink ref="O5" r:id="rId8" xr:uid="{EB7A0509-BC45-4030-8E09-4984FBA8780C}"/>
    <hyperlink ref="M65" r:id="rId9" location="Concentration_(beneficiation)" xr:uid="{6C883DD3-45E8-4FE4-A655-3B9E2D2F54B7}"/>
    <hyperlink ref="K65" r:id="rId10" xr:uid="{DF289D00-B318-45D6-9392-59749841AB6D}"/>
    <hyperlink ref="N65" r:id="rId11" xr:uid="{D2F1335B-17A3-4352-930A-6C55DE83B526}"/>
    <hyperlink ref="N67" r:id="rId12" xr:uid="{985B504A-05C5-40D0-9B74-AA52B4DB2430}"/>
    <hyperlink ref="K68" r:id="rId13" xr:uid="{13B37C3B-EE89-4C77-9488-B84BB57895A0}"/>
    <hyperlink ref="K69" r:id="rId14" xr:uid="{4C245C59-B85C-4B88-936E-662AB276E88F}"/>
    <hyperlink ref="N69" r:id="rId15" xr:uid="{52118F16-F44B-454E-AA6D-05CDC1DCF5E8}"/>
    <hyperlink ref="D62" r:id="rId16" xr:uid="{7FF5F002-A257-4D0D-AEF6-CB53055924C0}"/>
    <hyperlink ref="F62" r:id="rId17" xr:uid="{0505F292-FCCC-42A9-8F69-C402CB06438B}"/>
    <hyperlink ref="D65" r:id="rId18" xr:uid="{B811C0D5-B3CB-431F-9DAA-A542978F8F57}"/>
    <hyperlink ref="F65" r:id="rId19" xr:uid="{68474B5B-069A-42E3-9157-1E3114739E18}"/>
    <hyperlink ref="D67" r:id="rId20" xr:uid="{9F9D24AA-EEC9-4249-8653-EBAB49CF84AF}"/>
    <hyperlink ref="F67" r:id="rId21" xr:uid="{2B85F527-4C4B-4810-B6F3-27965ED7320E}"/>
    <hyperlink ref="D69" r:id="rId22" xr:uid="{4521DA81-C02C-49AC-982A-34BF9692FB6D}"/>
    <hyperlink ref="F69" r:id="rId23" xr:uid="{28FF4A6B-BC77-4F99-962F-2995EB4A3B2A}"/>
    <hyperlink ref="D70" r:id="rId24" xr:uid="{626E7DF0-A67B-4D38-AB57-690CFC5E8C3A}"/>
    <hyperlink ref="D71" r:id="rId25" xr:uid="{B8FEAA32-6586-4624-8ED2-0DBB6F800CD9}"/>
    <hyperlink ref="D72" r:id="rId26" xr:uid="{E0E109A4-9B4F-4F87-9495-98D185E314BB}"/>
    <hyperlink ref="D73" r:id="rId27" xr:uid="{25254E5A-82A3-4C4A-962F-CF04B38F7C77}"/>
    <hyperlink ref="D74" r:id="rId28" xr:uid="{C5D1C0FB-5BA9-4C53-8A69-A77F22A95A3A}"/>
    <hyperlink ref="D77" r:id="rId29" xr:uid="{FB01E162-177A-4E6E-8E8D-CD85C4355D91}"/>
    <hyperlink ref="D79" r:id="rId30" xr:uid="{6273506D-0ACE-4A91-94C4-480DB96BF59C}"/>
    <hyperlink ref="D80" r:id="rId31" xr:uid="{EE604115-C64D-480E-BB9F-C04D56A7B11A}"/>
    <hyperlink ref="D81" r:id="rId32" xr:uid="{39C2BAB4-2FFD-4F5A-ADBC-DE399CCFDD02}"/>
    <hyperlink ref="D82" r:id="rId33" xr:uid="{0E51F303-9E59-417F-902C-21DFED4D3151}"/>
    <hyperlink ref="D83" r:id="rId34" xr:uid="{3C1D2D6C-F559-44AF-81D0-0E2EAB28AFEA}"/>
    <hyperlink ref="D84" r:id="rId35" xr:uid="{41DAB51F-E208-4652-A123-4678000A4393}"/>
    <hyperlink ref="D85" r:id="rId36" xr:uid="{CC79B086-5344-4BD4-839E-3D3121108CEB}"/>
    <hyperlink ref="D86" r:id="rId37" xr:uid="{135D760D-6256-423C-9558-E2FC05AE3BD5}"/>
    <hyperlink ref="D87" r:id="rId38" xr:uid="{E37D488F-B64E-4741-AFA4-B27E67CDDAA9}"/>
    <hyperlink ref="D92" r:id="rId39" display="https://worldoceanreview.com/en/wor-3/mineral-resources/cobalt-crusts/?ssp=1&amp;darkschemeovr=1&amp;setlang=en-XL&amp;safesearch=moderate" xr:uid="{1D96CDD3-D620-4BFF-AC49-B0AA4AF91D86}"/>
    <hyperlink ref="D93" r:id="rId40" xr:uid="{21673CD2-CD16-44CD-A32E-1409B5F6B87A}"/>
    <hyperlink ref="F70" r:id="rId41" xr:uid="{B0FF8F1F-7E78-4C19-AAFD-73710D8A153C}"/>
    <hyperlink ref="F71" r:id="rId42" xr:uid="{A75E4763-7E7F-4858-8374-63A0E3E620FA}"/>
    <hyperlink ref="F72" r:id="rId43" xr:uid="{8601FB60-91B7-46C6-9162-F3C2CCD7EF14}"/>
    <hyperlink ref="F73" r:id="rId44" xr:uid="{C3206AC9-7D83-4BB7-9377-6F852A46B37B}"/>
    <hyperlink ref="F74" r:id="rId45" xr:uid="{6B0AB3CF-5263-47E0-859F-485681A46884}"/>
    <hyperlink ref="F77" r:id="rId46" xr:uid="{C495D43A-6A16-4146-9405-51E1529DA797}"/>
    <hyperlink ref="F79" r:id="rId47" xr:uid="{CE6C3AB4-3B3D-42AB-95B0-30C4223ACEA6}"/>
    <hyperlink ref="F80" r:id="rId48" xr:uid="{0A0B31DC-1C98-4430-99D5-40F9E9444E77}"/>
    <hyperlink ref="F81" r:id="rId49" xr:uid="{3110C59A-D6F2-4808-83AF-950D3D96ED30}"/>
    <hyperlink ref="F82" r:id="rId50" xr:uid="{62D9D5B8-E393-4B4B-BFC8-0ED3952FB043}"/>
    <hyperlink ref="F83" r:id="rId51" xr:uid="{B444BF89-1A6A-4815-BA1D-5822B8E1DBF3}"/>
    <hyperlink ref="F84" r:id="rId52" xr:uid="{56CF165E-91B2-470E-9362-9D2E1E557F64}"/>
    <hyperlink ref="F85" r:id="rId53" xr:uid="{9707461D-EEF3-4D02-A43C-F250487123B8}"/>
    <hyperlink ref="F86" r:id="rId54" xr:uid="{517E610B-FB5A-438C-93A0-216EC25A8EA3}"/>
    <hyperlink ref="F87" r:id="rId55" xr:uid="{FF5C6FA1-CF1C-4A70-A80C-8021BD41D7DE}"/>
    <hyperlink ref="F92" r:id="rId56" display="https://worldoceanreview.com/en/wor-3/mineral-resources/cobalt-crusts/?ssp=1&amp;darkschemeovr=1&amp;setlang=en-XL&amp;safesearch=moderate" xr:uid="{3E883149-B2D6-4E76-A851-D70AC4739549}"/>
    <hyperlink ref="F93" r:id="rId57" display="https://worldoceanreview.com/en/wor-3/mineral-resources/cobalt-crusts/?ssp=1&amp;darkschemeovr=1&amp;setlang=en-XL&amp;safesearch=moderate" xr:uid="{B8FDEFD7-C3A1-4244-AF86-04DDA281A5F8}"/>
    <hyperlink ref="E88" r:id="rId58" xr:uid="{BEF69A5B-4400-4F5F-AA5C-A19D32AFEA51}"/>
    <hyperlink ref="E90" r:id="rId59" xr:uid="{CC773907-9D27-4F44-90C6-6F2D8533372A}"/>
    <hyperlink ref="E91" r:id="rId60" xr:uid="{F9BCCC25-FFAC-4664-8080-027A0F1762CA}"/>
    <hyperlink ref="G88" r:id="rId61" xr:uid="{D2678720-E28A-4A8E-B0F5-CFA6F85F118E}"/>
    <hyperlink ref="G90" r:id="rId62" xr:uid="{24667189-DC2B-4AD4-8487-06C79DE1503A}"/>
    <hyperlink ref="G91" r:id="rId63" xr:uid="{F8F69075-1B80-46A6-A133-8FA7314EE960}"/>
    <hyperlink ref="G62" r:id="rId64" xr:uid="{BBC2CFE4-A962-4D89-B4F9-693A10E8A296}"/>
    <hyperlink ref="H67" r:id="rId65" xr:uid="{749BB216-009E-46DC-B063-28DA6ADE093C}"/>
    <hyperlink ref="H68" r:id="rId66" xr:uid="{C245F20E-2469-4D29-A581-BE757DBB9E79}"/>
    <hyperlink ref="H69" r:id="rId67" xr:uid="{63C65AD4-7FE3-41AE-BEAC-3D0C7A01DB9E}"/>
    <hyperlink ref="H70" r:id="rId68" xr:uid="{DA9C4765-3845-44C3-BC71-EB8A7325E642}"/>
    <hyperlink ref="H71" r:id="rId69" xr:uid="{91DC6CC9-D187-4E28-8650-33C8BCEB4855}"/>
    <hyperlink ref="H72" r:id="rId70" xr:uid="{10B40AB0-C99B-455A-90BC-DAD6C948844F}"/>
    <hyperlink ref="H74" r:id="rId71" xr:uid="{87E5DB5B-0EC0-4B64-8650-980B2FE7DFB2}"/>
    <hyperlink ref="H79" r:id="rId72" xr:uid="{4A70DAC1-522A-42E8-A23C-A27838349D1D}"/>
    <hyperlink ref="H80" r:id="rId73" xr:uid="{CA4305F7-6FE6-4524-9D62-C6E3698D48B2}"/>
    <hyperlink ref="H81" r:id="rId74" xr:uid="{A277C3FF-8905-4336-860B-6ABCA1426A20}"/>
    <hyperlink ref="H82" r:id="rId75" xr:uid="{18696514-5EBA-4EFB-9A20-05842BC980DD}"/>
    <hyperlink ref="H83" r:id="rId76" xr:uid="{D84AA0C3-8F27-407F-A0A8-F68B2D10920A}"/>
    <hyperlink ref="H84" r:id="rId77" xr:uid="{E0A16D33-4C81-4541-A18E-375032A5CF64}"/>
    <hyperlink ref="H85" r:id="rId78" xr:uid="{3B2FDE98-6D69-484F-832E-066E7F402FE3}"/>
    <hyperlink ref="H86" r:id="rId79" xr:uid="{FE5F2A1B-64F6-44D2-8DBA-A1855B8C3A59}"/>
    <hyperlink ref="H87" r:id="rId80" xr:uid="{8D22E273-7A0E-4B01-BC5A-5F4F42ACC200}"/>
    <hyperlink ref="I67" r:id="rId81" xr:uid="{15C6BCB7-F2FD-49EF-9945-E622441EB63A}"/>
    <hyperlink ref="I68" r:id="rId82" xr:uid="{3D8183CF-4EDB-4DCE-AC13-BCF26D62D672}"/>
    <hyperlink ref="I69" r:id="rId83" xr:uid="{48CD2B58-94E2-4525-B643-1944A9343A82}"/>
    <hyperlink ref="I70" r:id="rId84" xr:uid="{BFA8B4D6-30DC-4EC7-8063-92DFE31FE9AC}"/>
    <hyperlink ref="I71" r:id="rId85" xr:uid="{CEA011D4-7CB8-41C7-99DA-9AE374E025B4}"/>
    <hyperlink ref="I72" r:id="rId86" xr:uid="{D6832FD5-EE4B-4170-B38F-58A3C6D8FEBC}"/>
    <hyperlink ref="I74" r:id="rId87" xr:uid="{E7696F11-0B81-464A-95A7-D70456D2EFEB}"/>
    <hyperlink ref="I77" r:id="rId88" xr:uid="{6934E1B9-388A-4393-93E9-0779DED00EAC}"/>
    <hyperlink ref="I79" r:id="rId89" xr:uid="{8A882DF1-38F8-4DA5-8F61-2DC80C2EA429}"/>
    <hyperlink ref="I80" r:id="rId90" xr:uid="{2E9003F4-9359-45B3-9006-CE66221FDA8D}"/>
    <hyperlink ref="I81" r:id="rId91" xr:uid="{0F0CC211-8224-47ED-8F85-1C60FA77C427}"/>
    <hyperlink ref="I82" r:id="rId92" xr:uid="{A4DB5269-691E-478C-9EA9-3D462359897B}"/>
    <hyperlink ref="I83" r:id="rId93" xr:uid="{3410CA71-F909-4ACB-B8FB-DCD7D9841FAD}"/>
    <hyperlink ref="I84" r:id="rId94" xr:uid="{B0082437-FF34-4088-8AC2-447AEF9A5C7E}"/>
    <hyperlink ref="I85" r:id="rId95" xr:uid="{2F9B24C9-A0B9-475F-8C49-4BFB45495B6B}"/>
    <hyperlink ref="I86" r:id="rId96" xr:uid="{9F8FFFA9-1992-4A25-A374-A4CDC9697B97}"/>
    <hyperlink ref="I87" r:id="rId97" xr:uid="{E5C05F19-7E7F-4386-AFE2-844343CA6198}"/>
    <hyperlink ref="K70" r:id="rId98" xr:uid="{E128AE64-92FB-4C6C-854D-49683DEC98A2}"/>
    <hyperlink ref="L70" r:id="rId99" xr:uid="{30D1E64E-B827-4B6D-9B13-BB515D39E8F5}"/>
    <hyperlink ref="N70" r:id="rId100" xr:uid="{53574C52-4155-4126-8981-F016FA983F20}"/>
    <hyperlink ref="K71" r:id="rId101" xr:uid="{92927CAB-EC1C-4671-B750-59ECFD69CD0A}"/>
    <hyperlink ref="M71" r:id="rId102" xr:uid="{EEDDDAB2-4BE7-492D-AFB8-800A5ED4D891}"/>
    <hyperlink ref="N72" r:id="rId103" xr:uid="{7817C347-1B52-4B1B-B24D-132B6DF823F2}"/>
    <hyperlink ref="K72" r:id="rId104" xr:uid="{F6D14575-1CA4-4C8E-AC65-45A9191BC098}"/>
    <hyperlink ref="M72" r:id="rId105" xr:uid="{766EE6BC-D147-4A51-878E-C5B5AED43421}"/>
    <hyperlink ref="L73" r:id="rId106" xr:uid="{B901D54E-B216-4940-A4DF-5225A768362F}"/>
    <hyperlink ref="L77" r:id="rId107" xr:uid="{8E35AD0C-2665-44D1-BB3A-F10BCE402922}"/>
    <hyperlink ref="K73" r:id="rId108" xr:uid="{7A1D56F0-0F3F-4093-9B99-F9ADC74A6075}"/>
    <hyperlink ref="N74" r:id="rId109" xr:uid="{A0CDDEEC-76EE-4CBB-BA2E-B41EF6008EF8}"/>
    <hyperlink ref="H73" r:id="rId110" location="Production" xr:uid="{A17E788D-699E-46BF-9DC2-BA9D4031C01E}"/>
    <hyperlink ref="I73" r:id="rId111" location="Production" xr:uid="{29D36936-68C9-4350-9413-4852A5711CC0}"/>
    <hyperlink ref="H77" r:id="rId112" xr:uid="{B1E061B4-07FD-4A25-A537-9DE829DB2850}"/>
    <hyperlink ref="K77" r:id="rId113" xr:uid="{72C5B204-D0F4-4C07-911D-FEE32411462F}"/>
    <hyperlink ref="N77" r:id="rId114" xr:uid="{AAEFBF5B-E5C4-4793-8A58-EB97CCF58202}"/>
    <hyperlink ref="M88" r:id="rId115" xr:uid="{C575F3BD-E429-462F-A767-8269AC3A4BFA}"/>
    <hyperlink ref="H89" r:id="rId116" xr:uid="{5DD3DB71-22AC-45F4-A061-44DF7FA87396}"/>
    <hyperlink ref="K88" r:id="rId117" xr:uid="{DCA573F4-2B39-42B5-9C8D-E6C5CDB79192}"/>
    <hyperlink ref="N88" r:id="rId118" xr:uid="{D0978FD4-E93E-4F21-8EFA-46242CEF5DA8}"/>
    <hyperlink ref="N89" r:id="rId119" xr:uid="{41C827F3-1FC3-4C45-BA5D-88BD08062FCD}"/>
    <hyperlink ref="H90" r:id="rId120" xr:uid="{CBAD3FBE-D70A-481F-AFCF-447418E9F2D2}"/>
    <hyperlink ref="H91" r:id="rId121" xr:uid="{09373F49-E66D-453D-A900-4994316BE96B}"/>
    <hyperlink ref="K95" r:id="rId122" xr:uid="{A7C2EAB8-B60B-4A3E-899A-10357B3B7784}"/>
    <hyperlink ref="H95" r:id="rId123" xr:uid="{EA4B0FE8-E4D1-4BCB-9BB0-67F1093906B8}"/>
    <hyperlink ref="K94" r:id="rId124" xr:uid="{6D446611-C322-4319-8859-648BF158CCC5}"/>
    <hyperlink ref="K96" r:id="rId125" xr:uid="{1E6D4E07-C5A1-4BD7-89BD-6E561CD41A2D}"/>
    <hyperlink ref="K97" r:id="rId126" xr:uid="{AA7B2CE0-A0D1-4429-8080-05318E8E7FA9}"/>
    <hyperlink ref="H97" r:id="rId127" xr:uid="{0F9CB4D5-76DD-47D7-93D9-ED77135C1F89}"/>
    <hyperlink ref="N94" r:id="rId128" xr:uid="{4CE0ECBD-DB96-49EA-8151-03BDF06FD733}"/>
    <hyperlink ref="Q95" r:id="rId129" xr:uid="{85F9EE5B-1349-41E0-AC3A-B8FE350F489D}"/>
    <hyperlink ref="N96" r:id="rId130" xr:uid="{D2A9C9BD-53C9-4746-AEDB-DF76318378AE}"/>
    <hyperlink ref="K90" r:id="rId131" xr:uid="{DDD7FDCA-00CA-450B-9542-91B4B383D114}"/>
    <hyperlink ref="N90" r:id="rId132" xr:uid="{FF2E9064-AFB3-4D2B-B19E-431E957A432A}"/>
    <hyperlink ref="Q90" r:id="rId133" xr:uid="{2EA102D5-246B-44C3-88F6-19181526A507}"/>
    <hyperlink ref="K91" r:id="rId134" xr:uid="{069293CE-78A9-4130-B4FF-69C0A3379302}"/>
    <hyperlink ref="Q91" r:id="rId135" xr:uid="{4C676BDD-4E5E-4E99-8CC4-59E2494EE31A}"/>
    <hyperlink ref="N91" r:id="rId136" xr:uid="{4AF480BB-75E3-4A59-AA03-44A0DE84516D}"/>
    <hyperlink ref="H100" r:id="rId137" xr:uid="{A5EC8092-8BCF-4378-859B-B27D825EED70}"/>
    <hyperlink ref="K100" r:id="rId138" xr:uid="{49C45F72-84D2-4F6F-935D-756695BF2819}"/>
    <hyperlink ref="H101" r:id="rId139" xr:uid="{F269030F-66FE-4CFF-9AA2-BD3DF0B5A612}"/>
    <hyperlink ref="H106" r:id="rId140" xr:uid="{CD5970D1-B6D0-4464-AD67-34E28F457AC9}"/>
    <hyperlink ref="H102" r:id="rId141" xr:uid="{F9C73447-AAE4-4FD3-BC19-FBA7851F641E}"/>
    <hyperlink ref="K101" r:id="rId142" xr:uid="{6A364069-D1D1-47E7-A283-77B921AAD23B}"/>
    <hyperlink ref="K102" r:id="rId143" xr:uid="{E72B097F-15E9-45D2-91A2-CF7CFD60D98C}"/>
    <hyperlink ref="N100" r:id="rId144" xr:uid="{55A17C4F-375B-499D-AC9E-DD5B1CA5BA2F}"/>
    <hyperlink ref="Q100" r:id="rId145" xr:uid="{710B0DBD-92B8-46C8-86F5-89E87D43EE30}"/>
    <hyperlink ref="N101" r:id="rId146" xr:uid="{6627A937-2485-4824-808A-CD7A21ED7437}"/>
    <hyperlink ref="N102" r:id="rId147" xr:uid="{EB6035E8-B1AF-441F-9377-0F09E0B251A4}"/>
    <hyperlink ref="K63" r:id="rId148" xr:uid="{BE29AB45-9D5F-4120-8879-47223ADCC805}"/>
    <hyperlink ref="Q62" r:id="rId149" xr:uid="{2E0843D2-2229-4CAF-B862-1608DB3247F4}"/>
    <hyperlink ref="Q63" r:id="rId150" xr:uid="{0EB49794-25AC-4E87-A7AE-6B0FD84E3DDC}"/>
    <hyperlink ref="Q65" r:id="rId151" xr:uid="{9C3673AD-EB28-4436-AB01-6AAABCA413FF}"/>
    <hyperlink ref="Q67" r:id="rId152" xr:uid="{767C6DCD-AD0D-4B13-A679-BF094694E1F4}"/>
    <hyperlink ref="M68" r:id="rId153" xr:uid="{16243E33-A4C5-46DB-A851-40200FB0D4B6}"/>
    <hyperlink ref="Q69" r:id="rId154" xr:uid="{1CD432E8-EC92-4829-A4B4-357DBE8126ED}"/>
    <hyperlink ref="Q70" r:id="rId155" xr:uid="{FD4572F2-25AA-4270-BF72-EBB7EE939404}"/>
    <hyperlink ref="Q71" r:id="rId156" xr:uid="{72E40BE2-A756-4D4A-8956-1BC4C27259B4}"/>
    <hyperlink ref="Q72" r:id="rId157" xr:uid="{7755F2DE-6C07-4DCB-9A9F-C3E14D6BA4D1}"/>
    <hyperlink ref="Q74" r:id="rId158" xr:uid="{08FCE229-0ED4-4C1B-B632-406EE07960E1}"/>
    <hyperlink ref="Q75" r:id="rId159" location="Production" xr:uid="{20C2B367-9504-427E-8B56-FCDB746D48D7}"/>
    <hyperlink ref="Q77" r:id="rId160" xr:uid="{3DD6C063-7E8D-4C1A-835F-710AE9CAE083}"/>
    <hyperlink ref="Q79" r:id="rId161" xr:uid="{1523C01A-ADF0-4359-B7F4-4BB247DD0A4C}"/>
    <hyperlink ref="K79" r:id="rId162" xr:uid="{5E3B7471-205C-4B8B-8178-BFB0AF737B48}"/>
    <hyperlink ref="N86" r:id="rId163" xr:uid="{CF38073A-4492-4B1E-A58F-291599A23714}"/>
    <hyperlink ref="N85" r:id="rId164" xr:uid="{4E5F7AC3-7FA7-4A9C-B212-F9877E3E0554}"/>
    <hyperlink ref="T85" r:id="rId165" xr:uid="{11DE9CEE-BF87-418C-800F-B4E6DD8DAE64}"/>
    <hyperlink ref="K85" r:id="rId166" xr:uid="{A3021F67-9DCE-4526-8BC1-0A9CFC18CDC4}"/>
    <hyperlink ref="M85" r:id="rId167" xr:uid="{98FFC908-F598-4960-BB82-ACF21A973C06}"/>
    <hyperlink ref="Q85" r:id="rId168" xr:uid="{FB7F46F5-C900-4EC8-AA67-231B46819D15}"/>
    <hyperlink ref="K86" r:id="rId169" xr:uid="{220DB91F-E635-4A01-AD46-308C735991B9}"/>
    <hyperlink ref="Q86" r:id="rId170" xr:uid="{87F0970F-497E-4F10-9806-82140ECA6C71}"/>
    <hyperlink ref="Q88" r:id="rId171" xr:uid="{4BA0CB25-9047-41F5-BDBD-AB1B1D0A09C6}"/>
    <hyperlink ref="Q89" r:id="rId172" xr:uid="{C1B8FDF5-3B78-44A1-9BDB-486437208BAE}"/>
    <hyperlink ref="Q94" r:id="rId173" xr:uid="{EECC6157-1A93-4409-9D15-4F58DB148AB1}"/>
    <hyperlink ref="Q96" r:id="rId174" xr:uid="{11B04720-BA2E-4A14-B43C-3F1FF7705BD5}"/>
    <hyperlink ref="Q97" r:id="rId175" xr:uid="{4B864667-105A-4C93-A57E-FEEB424D2D57}"/>
    <hyperlink ref="Q101" r:id="rId176" xr:uid="{0DD0CFB6-6473-4A3C-A7D0-F91002C6805B}"/>
    <hyperlink ref="Q102" r:id="rId177" xr:uid="{A17218B2-BE7E-4DA0-914E-0AD91107EE53}"/>
    <hyperlink ref="K87" r:id="rId178" xr:uid="{943A9304-B50D-4673-A98F-787251BEAD5B}"/>
    <hyperlink ref="N66" r:id="rId179" xr:uid="{4E956A4B-A526-4CAC-AB74-568EF741370B}"/>
    <hyperlink ref="N79" r:id="rId180" xr:uid="{4718282D-D00B-4D7C-89DF-2E3DF0A162A6}"/>
    <hyperlink ref="Q68" r:id="rId181" xr:uid="{BCF0C69A-CD3B-46DD-BD26-0C707A7505CB}"/>
    <hyperlink ref="Q78" r:id="rId182" xr:uid="{527C7FB8-1504-4983-945A-3905A3BA6B58}"/>
    <hyperlink ref="N63" r:id="rId183" xr:uid="{27BFA8DE-3822-4AF7-BB33-434125EF98BB}"/>
    <hyperlink ref="H65" r:id="rId184" location=":~:text=Copper%20is%20naturally%20present%20in%20the%20Earth%E2%80%99s%20crust.,exceed%205%2C000%20million%20tonnes%20%28USGS%2C%202014%20%26%202017%29." xr:uid="{1B5AD588-4318-4BC4-B90D-1D00EBA4F38C}"/>
    <hyperlink ref="I65" r:id="rId185" location=":~:text=Copper%20is%20naturally%20present%20in%20the%20Earth%E2%80%99s%20crust.,exceed%205%2C000%20million%20tonnes%20%28USGS%2C%202014%20%26%202017%29." xr:uid="{32AC14C0-FAE6-45A0-A4C6-BF5DB9A1C12C}"/>
    <hyperlink ref="K98" r:id="rId186" xr:uid="{75B5BE9B-3FCA-432B-AB96-2C4CFC818D3D}"/>
    <hyperlink ref="H98" r:id="rId187" xr:uid="{E9FA2736-8D7E-4E22-AD5B-A3919E2A47AA}"/>
    <hyperlink ref="N98" r:id="rId188" xr:uid="{CEA1A9BD-8F6A-4BE9-9CA4-8B44136AABE7}"/>
    <hyperlink ref="Q98" r:id="rId189" xr:uid="{70390605-B140-43AA-A820-AAB2CA20EF69}"/>
    <hyperlink ref="N99" r:id="rId190" xr:uid="{B95EC329-9DCF-4A61-A00D-E17B014B943B}"/>
    <hyperlink ref="Q99" r:id="rId191" xr:uid="{92D8A6A5-6DE9-4237-BACB-00E889AA60B8}"/>
    <hyperlink ref="K99" r:id="rId192" xr:uid="{49AF43D8-1D81-44FA-91F2-FE1F79CDD77B}"/>
    <hyperlink ref="H99" r:id="rId193" xr:uid="{16B43F47-C3C8-42C9-AFDF-CB895BCE8353}"/>
    <hyperlink ref="K76" r:id="rId194" xr:uid="{EA96A830-C0E2-41CE-B78A-FE5CBFF6E952}"/>
    <hyperlink ref="N76" r:id="rId195" xr:uid="{9D556932-92E1-4CA6-99F1-B3C17F4C3ECA}"/>
    <hyperlink ref="H76" r:id="rId196" xr:uid="{0BB82604-51A0-4562-AE3C-1FA4C8E93276}"/>
    <hyperlink ref="AT19" r:id="rId197" xr:uid="{97EC2E25-C7CB-496F-BA22-3843D143EB8C}"/>
    <hyperlink ref="AZ38" r:id="rId198" xr:uid="{78DAEF9C-DD6D-4FF9-8AE3-D22737654DA7}"/>
  </hyperlinks>
  <pageMargins left="0.7" right="0.7" top="0.75" bottom="0.75" header="0.3" footer="0.3"/>
  <pageSetup orientation="portrait" r:id="rId19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5"/>
  <sheetViews>
    <sheetView topLeftCell="A5" workbookViewId="0">
      <selection activeCell="I33" sqref="I33:I36"/>
    </sheetView>
  </sheetViews>
  <sheetFormatPr defaultRowHeight="14.5" x14ac:dyDescent="0.35"/>
  <cols>
    <col min="2" max="2" width="28.54296875" customWidth="1"/>
    <col min="3" max="3" width="15.7265625" customWidth="1"/>
    <col min="4" max="4" width="14.7265625" customWidth="1"/>
    <col min="5" max="5" width="11.81640625" customWidth="1"/>
    <col min="6" max="6" width="16.453125" customWidth="1"/>
    <col min="7" max="7" width="5.81640625" customWidth="1"/>
    <col min="8" max="8" width="16.26953125" customWidth="1"/>
    <col min="9" max="9" width="11.81640625" customWidth="1"/>
    <col min="10" max="10" width="28.6328125" customWidth="1"/>
    <col min="11" max="11" width="16" customWidth="1"/>
    <col min="12" max="12" width="11.08984375" customWidth="1"/>
    <col min="13" max="13" width="16.7265625" customWidth="1"/>
    <col min="14" max="14" width="5.54296875" customWidth="1"/>
    <col min="15" max="15" width="16.08984375" customWidth="1"/>
  </cols>
  <sheetData>
    <row r="1" spans="1:15" ht="34" customHeight="1" x14ac:dyDescent="0.65">
      <c r="A1" s="2" t="s">
        <v>848</v>
      </c>
    </row>
    <row r="3" spans="1:15" ht="15.5" x14ac:dyDescent="0.35">
      <c r="A3" s="1" t="s">
        <v>0</v>
      </c>
    </row>
    <row r="4" spans="1:15" ht="15.5" x14ac:dyDescent="0.35">
      <c r="A4" s="1" t="s">
        <v>1</v>
      </c>
    </row>
    <row r="7" spans="1:15" ht="26.5" thickBot="1" x14ac:dyDescent="0.65">
      <c r="B7" s="11" t="s">
        <v>127</v>
      </c>
      <c r="C7" s="3"/>
      <c r="J7" s="114" t="str">
        <f t="shared" ref="J7:J8" si="0">B7</f>
        <v>Raw materials needed to make 100 million BEVs per year if no innovation</v>
      </c>
      <c r="K7" s="115"/>
      <c r="L7" s="116"/>
      <c r="M7" s="116"/>
      <c r="N7" s="116"/>
      <c r="O7" s="116"/>
    </row>
    <row r="8" spans="1:15" ht="15" thickTop="1" x14ac:dyDescent="0.35">
      <c r="B8" s="12" t="s">
        <v>2</v>
      </c>
      <c r="C8" s="13" t="s">
        <v>26</v>
      </c>
      <c r="D8" s="13" t="s">
        <v>7</v>
      </c>
      <c r="E8" s="13" t="s">
        <v>126</v>
      </c>
      <c r="F8" s="13" t="s">
        <v>3</v>
      </c>
      <c r="G8" s="13" t="s">
        <v>21</v>
      </c>
      <c r="H8" s="14" t="s">
        <v>63</v>
      </c>
      <c r="J8" s="12" t="str">
        <f t="shared" si="0"/>
        <v>Material type</v>
      </c>
      <c r="K8" s="13" t="str">
        <f t="shared" ref="K8:K23" si="1">C8</f>
        <v xml:space="preserve">One average BEV </v>
      </c>
      <c r="L8" s="13" t="str">
        <f t="shared" ref="L8:L22" si="2">E8</f>
        <v>100M BEVs</v>
      </c>
      <c r="M8" s="13" t="str">
        <f t="shared" ref="M8:M22" si="3">F8</f>
        <v xml:space="preserve">Global production </v>
      </c>
      <c r="N8" s="13" t="str">
        <f t="shared" ref="N8:N22" si="4">G8</f>
        <v xml:space="preserve">Data </v>
      </c>
      <c r="O8" s="14" t="str">
        <f t="shared" ref="O8:O22" si="5">H8</f>
        <v>In % of current</v>
      </c>
    </row>
    <row r="9" spans="1:15" x14ac:dyDescent="0.35">
      <c r="B9" s="15"/>
      <c r="C9" s="16" t="s">
        <v>8</v>
      </c>
      <c r="D9" s="16" t="s">
        <v>9</v>
      </c>
      <c r="E9" s="16" t="str">
        <f>D9</f>
        <v>in tons</v>
      </c>
      <c r="F9" s="16" t="str">
        <f>D9</f>
        <v>in tons</v>
      </c>
      <c r="G9" s="16" t="s">
        <v>20</v>
      </c>
      <c r="H9" s="17" t="s">
        <v>24</v>
      </c>
      <c r="J9" s="15"/>
      <c r="K9" s="16" t="str">
        <f t="shared" si="1"/>
        <v>in kg per vehicle</v>
      </c>
      <c r="L9" s="16" t="str">
        <f t="shared" si="2"/>
        <v>in tons</v>
      </c>
      <c r="M9" s="16" t="str">
        <f t="shared" si="3"/>
        <v>in tons</v>
      </c>
      <c r="N9" s="16" t="str">
        <f t="shared" si="4"/>
        <v>year</v>
      </c>
      <c r="O9" s="17" t="str">
        <f t="shared" si="5"/>
        <v>global production</v>
      </c>
    </row>
    <row r="10" spans="1:15" x14ac:dyDescent="0.35">
      <c r="B10" s="18" t="s">
        <v>323</v>
      </c>
      <c r="C10" s="19">
        <f>RM_ByBatChem!W30</f>
        <v>61.432448000000008</v>
      </c>
      <c r="D10" s="5">
        <f>C10*$I$26/$I$29</f>
        <v>1228648.9600000002</v>
      </c>
      <c r="E10" s="5">
        <f>D10*5</f>
        <v>6143244.8000000007</v>
      </c>
      <c r="F10" s="5">
        <v>3034000</v>
      </c>
      <c r="G10">
        <v>2021</v>
      </c>
      <c r="H10" s="20">
        <f>E10/F10</f>
        <v>2.024800527356625</v>
      </c>
      <c r="J10" s="18" t="s">
        <v>323</v>
      </c>
      <c r="K10" s="32">
        <f t="shared" si="1"/>
        <v>61.432448000000008</v>
      </c>
      <c r="L10" s="5">
        <f t="shared" si="2"/>
        <v>6143244.8000000007</v>
      </c>
      <c r="M10" s="5">
        <f t="shared" si="3"/>
        <v>3034000</v>
      </c>
      <c r="N10">
        <f t="shared" si="4"/>
        <v>2021</v>
      </c>
      <c r="O10" s="20">
        <f t="shared" si="5"/>
        <v>2.024800527356625</v>
      </c>
    </row>
    <row r="11" spans="1:15" x14ac:dyDescent="0.35">
      <c r="B11" s="18" t="s">
        <v>326</v>
      </c>
      <c r="C11" s="19">
        <f>F64</f>
        <v>61.824000000000005</v>
      </c>
      <c r="D11" s="5">
        <f>C11*$I$26/$I$29</f>
        <v>1236480</v>
      </c>
      <c r="E11" s="5">
        <f t="shared" ref="E11:E22" si="6">D11*5</f>
        <v>6182400</v>
      </c>
      <c r="F11" s="5">
        <v>3300000</v>
      </c>
      <c r="G11">
        <v>2022</v>
      </c>
      <c r="H11" s="20">
        <f t="shared" ref="H11:H21" si="7">E11/F11</f>
        <v>1.8734545454545455</v>
      </c>
      <c r="J11" s="18" t="s">
        <v>326</v>
      </c>
      <c r="K11" s="32">
        <f t="shared" si="1"/>
        <v>61.824000000000005</v>
      </c>
      <c r="L11" s="5">
        <f t="shared" si="2"/>
        <v>6182400</v>
      </c>
      <c r="M11" s="5">
        <f t="shared" si="3"/>
        <v>3300000</v>
      </c>
      <c r="N11">
        <f t="shared" si="4"/>
        <v>2022</v>
      </c>
      <c r="O11" s="20">
        <f t="shared" si="5"/>
        <v>1.8734545454545455</v>
      </c>
    </row>
    <row r="12" spans="1:15" x14ac:dyDescent="0.35">
      <c r="B12" s="18" t="s">
        <v>53</v>
      </c>
      <c r="C12" s="19">
        <f>I34*C13</f>
        <v>44.235071999999995</v>
      </c>
      <c r="D12" s="5">
        <f>C12*$I$26/$I$29</f>
        <v>884701.43999999983</v>
      </c>
      <c r="E12" s="5">
        <f t="shared" si="6"/>
        <v>4423507.1999999993</v>
      </c>
      <c r="F12" s="5">
        <f>F13*I34</f>
        <v>689000</v>
      </c>
      <c r="G12">
        <f>G13</f>
        <v>2022</v>
      </c>
      <c r="H12" s="20">
        <f>E12/F12</f>
        <v>6.4201846153846143</v>
      </c>
      <c r="J12" s="18" t="s">
        <v>53</v>
      </c>
      <c r="K12" s="32">
        <f t="shared" si="1"/>
        <v>44.235071999999995</v>
      </c>
      <c r="L12" s="5">
        <f t="shared" si="2"/>
        <v>4423507.1999999993</v>
      </c>
      <c r="M12" s="5">
        <f t="shared" si="3"/>
        <v>689000</v>
      </c>
      <c r="N12">
        <f t="shared" si="4"/>
        <v>2022</v>
      </c>
      <c r="O12" s="20">
        <f t="shared" si="5"/>
        <v>6.4201846153846143</v>
      </c>
    </row>
    <row r="13" spans="1:15" x14ac:dyDescent="0.35">
      <c r="B13" s="18" t="s">
        <v>324</v>
      </c>
      <c r="C13" s="19">
        <f>F70</f>
        <v>8.3462399999999999</v>
      </c>
      <c r="D13" s="5">
        <f>D12*$I$31</f>
        <v>166924.79999999999</v>
      </c>
      <c r="E13" s="5">
        <f>E12*$I$31</f>
        <v>834623.99999999988</v>
      </c>
      <c r="F13" s="5">
        <v>130000</v>
      </c>
      <c r="G13">
        <v>2022</v>
      </c>
      <c r="H13" s="20">
        <f>E13/F13</f>
        <v>6.4201846153846143</v>
      </c>
      <c r="J13" s="18" t="s">
        <v>324</v>
      </c>
      <c r="K13" s="32">
        <f t="shared" si="1"/>
        <v>8.3462399999999999</v>
      </c>
      <c r="L13" s="5">
        <f t="shared" si="2"/>
        <v>834623.99999999988</v>
      </c>
      <c r="M13" s="5">
        <f t="shared" si="3"/>
        <v>130000</v>
      </c>
      <c r="N13">
        <f t="shared" si="4"/>
        <v>2022</v>
      </c>
      <c r="O13" s="20">
        <f t="shared" si="5"/>
        <v>6.4201846153846143</v>
      </c>
    </row>
    <row r="14" spans="1:15" x14ac:dyDescent="0.35">
      <c r="B14" s="18" t="s">
        <v>187</v>
      </c>
      <c r="C14" s="19">
        <f>$I$29*D14/$I$26</f>
        <v>91</v>
      </c>
      <c r="D14" s="5">
        <v>1820000</v>
      </c>
      <c r="E14" s="5">
        <f t="shared" si="6"/>
        <v>9100000</v>
      </c>
      <c r="F14" s="5">
        <v>21840000</v>
      </c>
      <c r="G14">
        <v>2022</v>
      </c>
      <c r="H14" s="20">
        <f t="shared" si="7"/>
        <v>0.41666666666666669</v>
      </c>
      <c r="J14" s="18" t="s">
        <v>187</v>
      </c>
      <c r="K14" s="32">
        <f t="shared" si="1"/>
        <v>91</v>
      </c>
      <c r="L14" s="5">
        <f t="shared" si="2"/>
        <v>9100000</v>
      </c>
      <c r="M14" s="5">
        <f t="shared" si="3"/>
        <v>21840000</v>
      </c>
      <c r="N14">
        <f t="shared" si="4"/>
        <v>2022</v>
      </c>
      <c r="O14" s="20">
        <f t="shared" si="5"/>
        <v>0.41666666666666669</v>
      </c>
    </row>
    <row r="15" spans="1:15" x14ac:dyDescent="0.35">
      <c r="B15" s="18" t="s">
        <v>312</v>
      </c>
      <c r="C15" s="19">
        <v>10</v>
      </c>
      <c r="D15" s="5">
        <f>C15*$I$26/$I$29</f>
        <v>200000</v>
      </c>
      <c r="E15" s="5">
        <f t="shared" si="6"/>
        <v>1000000</v>
      </c>
      <c r="F15" s="5">
        <f>Mn!I27*1000</f>
        <v>20090000</v>
      </c>
      <c r="G15">
        <v>2022</v>
      </c>
      <c r="H15" s="20">
        <f t="shared" si="7"/>
        <v>4.9776007964161276E-2</v>
      </c>
      <c r="J15" s="18" t="s">
        <v>312</v>
      </c>
      <c r="K15" s="32">
        <f t="shared" si="1"/>
        <v>10</v>
      </c>
      <c r="L15" s="5">
        <f t="shared" si="2"/>
        <v>1000000</v>
      </c>
      <c r="M15" s="5">
        <f t="shared" si="3"/>
        <v>20090000</v>
      </c>
      <c r="N15">
        <f t="shared" si="4"/>
        <v>2022</v>
      </c>
      <c r="O15" s="20">
        <f t="shared" si="5"/>
        <v>4.9776007964161276E-2</v>
      </c>
    </row>
    <row r="16" spans="1:15" x14ac:dyDescent="0.35">
      <c r="B16" s="18" t="s">
        <v>241</v>
      </c>
      <c r="C16" s="19">
        <v>20</v>
      </c>
      <c r="D16" s="5">
        <f>C16*$I$26/$I$29</f>
        <v>400000</v>
      </c>
      <c r="E16" s="5">
        <f>D16*5</f>
        <v>2000000</v>
      </c>
      <c r="F16" s="5">
        <f>Mg!M23*I29</f>
        <v>1022000</v>
      </c>
      <c r="G16">
        <v>2022</v>
      </c>
      <c r="H16" s="20">
        <f>E16/F16</f>
        <v>1.9569471624266144</v>
      </c>
      <c r="J16" s="18" t="s">
        <v>241</v>
      </c>
      <c r="K16" s="32">
        <f t="shared" si="1"/>
        <v>20</v>
      </c>
      <c r="L16" s="5">
        <f t="shared" si="2"/>
        <v>2000000</v>
      </c>
      <c r="M16" s="5">
        <f t="shared" si="3"/>
        <v>1022000</v>
      </c>
      <c r="N16">
        <f t="shared" si="4"/>
        <v>2022</v>
      </c>
      <c r="O16" s="20">
        <f t="shared" si="5"/>
        <v>1.9569471624266144</v>
      </c>
    </row>
    <row r="17" spans="2:15" x14ac:dyDescent="0.35">
      <c r="B17" s="18" t="s">
        <v>245</v>
      </c>
      <c r="C17" s="19">
        <v>17.5</v>
      </c>
      <c r="D17" s="5">
        <f>C17*$I$26/$I$29</f>
        <v>350000</v>
      </c>
      <c r="E17" s="5">
        <f>D17*5</f>
        <v>1750000</v>
      </c>
      <c r="F17" s="5">
        <v>13800000</v>
      </c>
      <c r="G17">
        <v>2021</v>
      </c>
      <c r="H17" s="20">
        <f>E17/F17</f>
        <v>0.12681159420289856</v>
      </c>
      <c r="J17" s="18" t="s">
        <v>245</v>
      </c>
      <c r="K17" s="32">
        <f t="shared" si="1"/>
        <v>17.5</v>
      </c>
      <c r="L17" s="5">
        <f t="shared" si="2"/>
        <v>1750000</v>
      </c>
      <c r="M17" s="5">
        <f t="shared" si="3"/>
        <v>13800000</v>
      </c>
      <c r="N17">
        <f t="shared" si="4"/>
        <v>2021</v>
      </c>
      <c r="O17" s="20">
        <f t="shared" si="5"/>
        <v>0.12681159420289856</v>
      </c>
    </row>
    <row r="18" spans="2:15" x14ac:dyDescent="0.35">
      <c r="B18" s="35" t="s">
        <v>325</v>
      </c>
      <c r="C18" s="36">
        <f>F75</f>
        <v>6.1824000000000003</v>
      </c>
      <c r="D18" s="37">
        <f>C18*$I$26/$I$29</f>
        <v>123648</v>
      </c>
      <c r="E18" s="37">
        <f t="shared" si="6"/>
        <v>618240</v>
      </c>
      <c r="F18" s="37">
        <v>190000</v>
      </c>
      <c r="G18" s="38">
        <v>2022</v>
      </c>
      <c r="H18" s="39">
        <f t="shared" si="7"/>
        <v>3.2538947368421054</v>
      </c>
      <c r="J18" s="35" t="s">
        <v>325</v>
      </c>
      <c r="K18" s="40">
        <f t="shared" si="1"/>
        <v>6.1824000000000003</v>
      </c>
      <c r="L18" s="37">
        <f t="shared" si="2"/>
        <v>618240</v>
      </c>
      <c r="M18" s="37">
        <f t="shared" si="3"/>
        <v>190000</v>
      </c>
      <c r="N18" s="38">
        <f t="shared" si="4"/>
        <v>2022</v>
      </c>
      <c r="O18" s="39">
        <f t="shared" si="5"/>
        <v>3.2538947368421054</v>
      </c>
    </row>
    <row r="19" spans="2:15" x14ac:dyDescent="0.35">
      <c r="B19" s="18" t="s">
        <v>186</v>
      </c>
      <c r="C19" s="19">
        <f>$I$29*D19/$I$26</f>
        <v>0.9</v>
      </c>
      <c r="D19" s="5">
        <v>18000</v>
      </c>
      <c r="E19" s="5">
        <f t="shared" si="6"/>
        <v>90000</v>
      </c>
      <c r="F19" s="5">
        <v>300000</v>
      </c>
      <c r="G19">
        <v>2019</v>
      </c>
      <c r="H19" s="20">
        <f t="shared" si="7"/>
        <v>0.3</v>
      </c>
      <c r="J19" s="18" t="s">
        <v>186</v>
      </c>
      <c r="K19" s="32">
        <f t="shared" si="1"/>
        <v>0.9</v>
      </c>
      <c r="L19" s="5">
        <f t="shared" si="2"/>
        <v>90000</v>
      </c>
      <c r="M19" s="5">
        <f t="shared" si="3"/>
        <v>300000</v>
      </c>
      <c r="N19">
        <f t="shared" si="4"/>
        <v>2019</v>
      </c>
      <c r="O19" s="20">
        <f t="shared" si="5"/>
        <v>0.3</v>
      </c>
    </row>
    <row r="20" spans="2:15" x14ac:dyDescent="0.35">
      <c r="B20" s="18" t="s">
        <v>188</v>
      </c>
      <c r="C20" s="19">
        <f>$I$29*D20/$I$26</f>
        <v>169</v>
      </c>
      <c r="D20" s="5">
        <v>3380000</v>
      </c>
      <c r="E20" s="5">
        <f t="shared" si="6"/>
        <v>16900000</v>
      </c>
      <c r="F20" s="5">
        <v>68000000</v>
      </c>
      <c r="G20">
        <v>2022</v>
      </c>
      <c r="H20" s="20">
        <f t="shared" si="7"/>
        <v>0.24852941176470589</v>
      </c>
      <c r="J20" s="18" t="s">
        <v>464</v>
      </c>
      <c r="K20" s="32">
        <f t="shared" si="1"/>
        <v>169</v>
      </c>
      <c r="L20" s="5">
        <f t="shared" si="2"/>
        <v>16900000</v>
      </c>
      <c r="M20" s="5">
        <f t="shared" si="3"/>
        <v>68000000</v>
      </c>
      <c r="N20">
        <f t="shared" si="4"/>
        <v>2022</v>
      </c>
      <c r="O20" s="20">
        <f t="shared" si="5"/>
        <v>0.24852941176470589</v>
      </c>
    </row>
    <row r="21" spans="2:15" x14ac:dyDescent="0.35">
      <c r="B21" s="18" t="s">
        <v>189</v>
      </c>
      <c r="C21" s="19">
        <v>900</v>
      </c>
      <c r="D21" s="5">
        <f>C21*$I$26/$I$29</f>
        <v>18000000</v>
      </c>
      <c r="E21" s="5">
        <f t="shared" si="6"/>
        <v>90000000</v>
      </c>
      <c r="F21" s="5">
        <v>1951000000</v>
      </c>
      <c r="G21">
        <v>2021</v>
      </c>
      <c r="H21" s="20">
        <f t="shared" si="7"/>
        <v>4.613018964633521E-2</v>
      </c>
      <c r="J21" s="18" t="s">
        <v>189</v>
      </c>
      <c r="K21" s="32">
        <f t="shared" si="1"/>
        <v>900</v>
      </c>
      <c r="L21" s="5">
        <f t="shared" si="2"/>
        <v>90000000</v>
      </c>
      <c r="M21" s="5">
        <f t="shared" si="3"/>
        <v>1951000000</v>
      </c>
      <c r="N21">
        <f t="shared" si="4"/>
        <v>2021</v>
      </c>
      <c r="O21" s="20">
        <f t="shared" si="5"/>
        <v>4.613018964633521E-2</v>
      </c>
    </row>
    <row r="22" spans="2:15" x14ac:dyDescent="0.35">
      <c r="B22" s="18" t="s">
        <v>316</v>
      </c>
      <c r="C22" s="19">
        <v>250</v>
      </c>
      <c r="D22" s="5">
        <f>C22*I26/I29</f>
        <v>5000000</v>
      </c>
      <c r="E22" s="5">
        <f t="shared" si="6"/>
        <v>25000000</v>
      </c>
      <c r="F22" t="s">
        <v>15</v>
      </c>
      <c r="G22" t="s">
        <v>15</v>
      </c>
      <c r="H22" s="21" t="s">
        <v>15</v>
      </c>
      <c r="J22" s="18" t="s">
        <v>316</v>
      </c>
      <c r="K22" s="32">
        <f t="shared" si="1"/>
        <v>250</v>
      </c>
      <c r="L22" s="5">
        <f t="shared" si="2"/>
        <v>25000000</v>
      </c>
      <c r="M22" t="str">
        <f t="shared" si="3"/>
        <v>-</v>
      </c>
      <c r="N22" t="str">
        <f t="shared" si="4"/>
        <v>-</v>
      </c>
      <c r="O22" s="21" t="str">
        <f t="shared" si="5"/>
        <v>-</v>
      </c>
    </row>
    <row r="23" spans="2:15" ht="15" thickBot="1" x14ac:dyDescent="0.4">
      <c r="B23" s="22" t="s">
        <v>25</v>
      </c>
      <c r="C23" s="23">
        <f>SUM(C10:C12,C14:C22)</f>
        <v>1632.07392</v>
      </c>
      <c r="D23" s="24"/>
      <c r="E23" s="24"/>
      <c r="F23" s="24"/>
      <c r="G23" s="24"/>
      <c r="H23" s="25"/>
      <c r="J23" s="22" t="s">
        <v>25</v>
      </c>
      <c r="K23" s="81">
        <f t="shared" si="1"/>
        <v>1632.07392</v>
      </c>
      <c r="L23" s="24"/>
      <c r="M23" s="24"/>
      <c r="N23" s="24"/>
      <c r="O23" s="25"/>
    </row>
    <row r="24" spans="2:15" ht="15" thickTop="1" x14ac:dyDescent="0.35">
      <c r="J24" s="117" t="s">
        <v>463</v>
      </c>
      <c r="K24" s="116"/>
      <c r="L24" s="116"/>
      <c r="M24" s="116"/>
      <c r="N24" s="116"/>
      <c r="O24" s="116"/>
    </row>
    <row r="25" spans="2:15" x14ac:dyDescent="0.35">
      <c r="B25" s="6" t="s">
        <v>13</v>
      </c>
      <c r="C25" s="7"/>
      <c r="D25" s="7"/>
      <c r="E25" s="7"/>
      <c r="F25" s="7"/>
      <c r="G25" s="7"/>
      <c r="H25" s="7"/>
      <c r="I25" s="4" t="s">
        <v>6</v>
      </c>
    </row>
    <row r="26" spans="2:15" x14ac:dyDescent="0.35">
      <c r="I26" s="5">
        <v>20000000</v>
      </c>
      <c r="J26" t="s">
        <v>11</v>
      </c>
    </row>
    <row r="27" spans="2:15" x14ac:dyDescent="0.35">
      <c r="B27" s="4" t="s">
        <v>2</v>
      </c>
      <c r="C27" s="4" t="s">
        <v>10</v>
      </c>
      <c r="D27" s="4" t="s">
        <v>7</v>
      </c>
      <c r="E27" s="4" t="s">
        <v>5</v>
      </c>
      <c r="F27" s="4" t="s">
        <v>3</v>
      </c>
      <c r="G27" s="4" t="s">
        <v>4</v>
      </c>
      <c r="I27" s="5">
        <v>100000000</v>
      </c>
      <c r="J27" t="s">
        <v>12</v>
      </c>
    </row>
    <row r="28" spans="2:15" x14ac:dyDescent="0.35">
      <c r="C28" t="s">
        <v>8</v>
      </c>
      <c r="D28" t="s">
        <v>9</v>
      </c>
      <c r="E28" t="str">
        <f>D28</f>
        <v>in tons</v>
      </c>
      <c r="F28" t="str">
        <f>D28</f>
        <v>in tons</v>
      </c>
    </row>
    <row r="29" spans="2:15" x14ac:dyDescent="0.35">
      <c r="B29" s="4" t="str">
        <f t="shared" ref="B29:B35" si="8">B10</f>
        <v>Graphite battery cells 19% 83kWh</v>
      </c>
      <c r="C29" t="s">
        <v>315</v>
      </c>
      <c r="D29" s="9" t="s">
        <v>27</v>
      </c>
      <c r="E29" t="s">
        <v>15</v>
      </c>
      <c r="F29" s="9" t="s">
        <v>28</v>
      </c>
      <c r="G29" t="s">
        <v>29</v>
      </c>
      <c r="I29">
        <v>1000</v>
      </c>
      <c r="J29" t="s">
        <v>16</v>
      </c>
    </row>
    <row r="30" spans="2:15" x14ac:dyDescent="0.35">
      <c r="B30" s="4" t="str">
        <f t="shared" si="8"/>
        <v>Nickel battery cells 20% 83kWh</v>
      </c>
      <c r="C30" t="s">
        <v>258</v>
      </c>
      <c r="D30" s="9" t="s">
        <v>14</v>
      </c>
      <c r="E30" t="s">
        <v>15</v>
      </c>
      <c r="F30" s="9" t="s">
        <v>148</v>
      </c>
      <c r="G30" t="s">
        <v>15</v>
      </c>
      <c r="I30" t="s">
        <v>85</v>
      </c>
    </row>
    <row r="31" spans="2:15" x14ac:dyDescent="0.35">
      <c r="B31" s="4" t="str">
        <f t="shared" si="8"/>
        <v xml:space="preserve">Lithium carbonate or equivalent </v>
      </c>
      <c r="C31" t="s">
        <v>15</v>
      </c>
      <c r="D31" s="9" t="s">
        <v>40</v>
      </c>
      <c r="E31" t="s">
        <v>15</v>
      </c>
      <c r="F31" s="9" t="s">
        <v>38</v>
      </c>
      <c r="G31" t="s">
        <v>39</v>
      </c>
      <c r="I31">
        <f>1/I34</f>
        <v>0.18867924528301888</v>
      </c>
    </row>
    <row r="32" spans="2:15" x14ac:dyDescent="0.35">
      <c r="B32" s="18" t="str">
        <f t="shared" si="8"/>
        <v>Lithium battery cells 2.7% 83kWh</v>
      </c>
      <c r="C32" t="s">
        <v>258</v>
      </c>
      <c r="D32" t="s">
        <v>15</v>
      </c>
      <c r="E32" t="s">
        <v>15</v>
      </c>
      <c r="F32" s="9" t="s">
        <v>88</v>
      </c>
      <c r="I32" t="s">
        <v>15</v>
      </c>
    </row>
    <row r="33" spans="2:9" x14ac:dyDescent="0.35">
      <c r="B33" s="4" t="str">
        <f t="shared" si="8"/>
        <v>Copper (battery, motor, wires)</v>
      </c>
      <c r="C33" t="s">
        <v>15</v>
      </c>
      <c r="D33" s="9" t="s">
        <v>14</v>
      </c>
      <c r="E33" t="s">
        <v>15</v>
      </c>
      <c r="F33" s="9" t="s">
        <v>22</v>
      </c>
      <c r="G33" t="s">
        <v>15</v>
      </c>
      <c r="I33" t="s">
        <v>692</v>
      </c>
    </row>
    <row r="34" spans="2:9" x14ac:dyDescent="0.35">
      <c r="B34" s="4" t="str">
        <f t="shared" si="8"/>
        <v>Manganese (batteries, steel alloy)</v>
      </c>
      <c r="C34" s="9" t="s">
        <v>249</v>
      </c>
      <c r="D34" s="9" t="s">
        <v>278</v>
      </c>
      <c r="E34" t="s">
        <v>15</v>
      </c>
      <c r="F34" s="9" t="s">
        <v>404</v>
      </c>
      <c r="G34" t="s">
        <v>15</v>
      </c>
      <c r="I34">
        <v>5.3</v>
      </c>
    </row>
    <row r="35" spans="2:9" x14ac:dyDescent="0.35">
      <c r="B35" s="4" t="str">
        <f t="shared" si="8"/>
        <v>Magnesium (VW Beetle)</v>
      </c>
      <c r="C35" s="9" t="s">
        <v>240</v>
      </c>
      <c r="D35" s="9" t="s">
        <v>15</v>
      </c>
      <c r="E35" t="s">
        <v>15</v>
      </c>
      <c r="F35" s="9" t="s">
        <v>236</v>
      </c>
      <c r="G35" t="s">
        <v>15</v>
      </c>
      <c r="I35" t="s">
        <v>86</v>
      </c>
    </row>
    <row r="36" spans="2:9" x14ac:dyDescent="0.35">
      <c r="B36" s="4" t="str">
        <f>B17</f>
        <v>Zinc (rust protection battery etc)</v>
      </c>
      <c r="C36" s="9" t="s">
        <v>243</v>
      </c>
      <c r="D36" s="9" t="s">
        <v>15</v>
      </c>
      <c r="E36" t="s">
        <v>15</v>
      </c>
      <c r="F36" s="9" t="s">
        <v>244</v>
      </c>
      <c r="G36" t="s">
        <v>15</v>
      </c>
      <c r="I36" s="9" t="s">
        <v>87</v>
      </c>
    </row>
    <row r="37" spans="2:9" x14ac:dyDescent="0.35">
      <c r="B37" s="4" t="str">
        <f t="shared" ref="B37:B39" si="9">B18</f>
        <v>Cobalt in battery cells 2%, 83kWh</v>
      </c>
      <c r="C37" t="s">
        <v>258</v>
      </c>
      <c r="D37" s="9" t="s">
        <v>14</v>
      </c>
      <c r="E37" t="s">
        <v>15</v>
      </c>
      <c r="F37" s="9" t="s">
        <v>145</v>
      </c>
      <c r="G37" t="s">
        <v>15</v>
      </c>
    </row>
    <row r="38" spans="2:9" x14ac:dyDescent="0.35">
      <c r="B38" s="4" t="str">
        <f t="shared" si="9"/>
        <v>Rare earth (fx Nd, Pr, Dy, Tb)</v>
      </c>
      <c r="C38" t="s">
        <v>15</v>
      </c>
      <c r="D38" s="9" t="s">
        <v>14</v>
      </c>
      <c r="E38" t="s">
        <v>15</v>
      </c>
      <c r="F38" s="85" t="s">
        <v>19</v>
      </c>
      <c r="G38" t="s">
        <v>15</v>
      </c>
    </row>
    <row r="39" spans="2:9" x14ac:dyDescent="0.35">
      <c r="B39" s="4" t="str">
        <f t="shared" si="9"/>
        <v>Aluminum (vehicle GM Volt))</v>
      </c>
      <c r="C39" t="s">
        <v>15</v>
      </c>
      <c r="D39" s="9" t="s">
        <v>14</v>
      </c>
      <c r="E39" t="s">
        <v>15</v>
      </c>
      <c r="F39" s="9" t="s">
        <v>190</v>
      </c>
      <c r="G39" t="s">
        <v>15</v>
      </c>
    </row>
    <row r="40" spans="2:9" x14ac:dyDescent="0.35">
      <c r="B40" s="4" t="s">
        <v>51</v>
      </c>
      <c r="C40" t="s">
        <v>18</v>
      </c>
      <c r="D40" t="s">
        <v>15</v>
      </c>
      <c r="E40" t="s">
        <v>15</v>
      </c>
      <c r="F40" s="9" t="s">
        <v>23</v>
      </c>
      <c r="G40" t="s">
        <v>15</v>
      </c>
    </row>
    <row r="41" spans="2:9" x14ac:dyDescent="0.35">
      <c r="B41" s="4" t="s">
        <v>17</v>
      </c>
      <c r="C41" t="s">
        <v>18</v>
      </c>
      <c r="D41" t="s">
        <v>15</v>
      </c>
      <c r="F41" t="s">
        <v>15</v>
      </c>
    </row>
    <row r="47" spans="2:9" x14ac:dyDescent="0.35">
      <c r="B47" s="4" t="s">
        <v>57</v>
      </c>
    </row>
    <row r="48" spans="2:9" x14ac:dyDescent="0.35">
      <c r="B48">
        <v>0.08</v>
      </c>
    </row>
    <row r="49" spans="2:8" x14ac:dyDescent="0.35">
      <c r="B49" s="9" t="s">
        <v>58</v>
      </c>
    </row>
    <row r="50" spans="2:8" x14ac:dyDescent="0.35">
      <c r="B50" t="s">
        <v>60</v>
      </c>
      <c r="D50" t="s">
        <v>832</v>
      </c>
      <c r="F50" t="s">
        <v>833</v>
      </c>
    </row>
    <row r="51" spans="2:8" x14ac:dyDescent="0.35">
      <c r="B51">
        <v>530</v>
      </c>
      <c r="C51" t="s">
        <v>264</v>
      </c>
      <c r="D51">
        <f>B51-F63</f>
        <v>220.88</v>
      </c>
      <c r="E51" t="s">
        <v>264</v>
      </c>
      <c r="F51" s="8">
        <f>D51/F63</f>
        <v>0.71454451345755687</v>
      </c>
    </row>
    <row r="52" spans="2:8" x14ac:dyDescent="0.35">
      <c r="B52" t="s">
        <v>59</v>
      </c>
    </row>
    <row r="54" spans="2:8" x14ac:dyDescent="0.35">
      <c r="B54" t="s">
        <v>61</v>
      </c>
      <c r="C54">
        <f>B51*B48</f>
        <v>42.4</v>
      </c>
    </row>
    <row r="56" spans="2:8" x14ac:dyDescent="0.35">
      <c r="B56" t="s">
        <v>62</v>
      </c>
      <c r="C56">
        <f>90-C54-23</f>
        <v>24.6</v>
      </c>
    </row>
    <row r="59" spans="2:8" x14ac:dyDescent="0.35">
      <c r="B59" s="4" t="s">
        <v>320</v>
      </c>
      <c r="F59" t="s">
        <v>314</v>
      </c>
      <c r="G59" t="s">
        <v>86</v>
      </c>
    </row>
    <row r="60" spans="2:8" x14ac:dyDescent="0.35">
      <c r="B60" t="s">
        <v>257</v>
      </c>
      <c r="F60" s="104">
        <v>0.2</v>
      </c>
      <c r="G60" s="9" t="s">
        <v>217</v>
      </c>
      <c r="H60" t="s">
        <v>259</v>
      </c>
    </row>
    <row r="61" spans="2:8" x14ac:dyDescent="0.35">
      <c r="B61" t="s">
        <v>836</v>
      </c>
      <c r="F61">
        <v>4416</v>
      </c>
      <c r="G61" s="9" t="s">
        <v>260</v>
      </c>
    </row>
    <row r="62" spans="2:8" x14ac:dyDescent="0.35">
      <c r="B62" t="s">
        <v>261</v>
      </c>
      <c r="F62">
        <v>70</v>
      </c>
      <c r="G62" s="9" t="s">
        <v>262</v>
      </c>
    </row>
    <row r="63" spans="2:8" x14ac:dyDescent="0.35">
      <c r="B63" t="s">
        <v>313</v>
      </c>
      <c r="F63">
        <f>F61*F62/1000</f>
        <v>309.12</v>
      </c>
      <c r="G63" t="s">
        <v>264</v>
      </c>
    </row>
    <row r="64" spans="2:8" x14ac:dyDescent="0.35">
      <c r="B64" t="s">
        <v>263</v>
      </c>
      <c r="F64" s="4">
        <f>F63*F60</f>
        <v>61.824000000000005</v>
      </c>
      <c r="G64" t="s">
        <v>264</v>
      </c>
    </row>
    <row r="65" spans="2:8" x14ac:dyDescent="0.35">
      <c r="B65" t="s">
        <v>317</v>
      </c>
      <c r="F65" s="65">
        <v>269</v>
      </c>
      <c r="G65" t="s">
        <v>293</v>
      </c>
      <c r="H65" s="9" t="s">
        <v>318</v>
      </c>
    </row>
    <row r="66" spans="2:8" x14ac:dyDescent="0.35">
      <c r="B66" t="s">
        <v>319</v>
      </c>
      <c r="F66" s="65">
        <f>F65*F63/1000</f>
        <v>83.153279999999995</v>
      </c>
      <c r="G66" t="s">
        <v>314</v>
      </c>
    </row>
    <row r="68" spans="2:8" x14ac:dyDescent="0.35">
      <c r="B68" s="4" t="s">
        <v>321</v>
      </c>
    </row>
    <row r="69" spans="2:8" x14ac:dyDescent="0.35">
      <c r="B69" t="s">
        <v>888</v>
      </c>
      <c r="F69" s="8">
        <v>2.7E-2</v>
      </c>
      <c r="G69" s="9" t="s">
        <v>217</v>
      </c>
      <c r="H69" t="s">
        <v>259</v>
      </c>
    </row>
    <row r="70" spans="2:8" x14ac:dyDescent="0.35">
      <c r="B70" t="s">
        <v>265</v>
      </c>
      <c r="F70" s="129">
        <f>F$63*F69</f>
        <v>8.3462399999999999</v>
      </c>
      <c r="G70" t="s">
        <v>264</v>
      </c>
    </row>
    <row r="73" spans="2:8" x14ac:dyDescent="0.35">
      <c r="B73" s="4" t="s">
        <v>322</v>
      </c>
    </row>
    <row r="74" spans="2:8" x14ac:dyDescent="0.35">
      <c r="B74" t="s">
        <v>266</v>
      </c>
      <c r="F74" s="8">
        <v>0.02</v>
      </c>
      <c r="G74" s="9" t="s">
        <v>217</v>
      </c>
      <c r="H74" t="s">
        <v>259</v>
      </c>
    </row>
    <row r="75" spans="2:8" x14ac:dyDescent="0.35">
      <c r="B75" t="s">
        <v>267</v>
      </c>
      <c r="F75" s="129">
        <f>F$63*F74</f>
        <v>6.1824000000000003</v>
      </c>
    </row>
  </sheetData>
  <phoneticPr fontId="5" type="noConversion"/>
  <hyperlinks>
    <hyperlink ref="F40" r:id="rId1" xr:uid="{0D27EFBF-958B-4066-9BAE-8886F7B0858D}"/>
    <hyperlink ref="F29" r:id="rId2" xr:uid="{D1072F87-D3D1-46B9-BF90-6850E64AF18D}"/>
    <hyperlink ref="F32" r:id="rId3" xr:uid="{EBDDC695-D8B3-4919-AD73-B1A5D3F9B63E}"/>
    <hyperlink ref="F31" r:id="rId4" xr:uid="{DF205339-E4C6-4612-8CDC-B3267BF3AA9A}"/>
    <hyperlink ref="D29" r:id="rId5" location=":~:text=Graphite%20is%20thus%20considered%20indispensable,containing%2020%2D30%25%20graphite." xr:uid="{94002877-2030-4AA8-B400-9C64D06E9D9E}"/>
    <hyperlink ref="D30" r:id="rId6" xr:uid="{C4DE1C3F-8691-44E2-8334-A8D90E1A2940}"/>
    <hyperlink ref="D31" r:id="rId7" xr:uid="{B0A2DCEA-B289-4279-8AAF-A2E80B14B43F}"/>
    <hyperlink ref="D33" r:id="rId8" xr:uid="{773B7336-3C81-4A3F-9B85-19196950C243}"/>
    <hyperlink ref="D37" r:id="rId9" xr:uid="{A8ED77A4-59E8-4EB7-B602-DB63A246780A}"/>
    <hyperlink ref="D38" r:id="rId10" xr:uid="{12766662-6937-419B-AA7E-61BE9ACD01EF}"/>
    <hyperlink ref="D39" r:id="rId11" xr:uid="{AC711A0C-8E26-4C15-9AC7-A4A4A763AF41}"/>
    <hyperlink ref="F33" r:id="rId12" xr:uid="{8947FDCC-8192-4292-BA1E-0A71EF52B9D0}"/>
    <hyperlink ref="F38" r:id="rId13" xr:uid="{6E389586-5ED5-4CFC-A494-954D38CEA065}"/>
    <hyperlink ref="F37" r:id="rId14" xr:uid="{A0293EBC-E2D3-4001-9D01-53DAF1AC6206}"/>
    <hyperlink ref="F30" r:id="rId15" xr:uid="{E597ECC5-8078-4FB8-B664-359D59EE6B5C}"/>
    <hyperlink ref="F39" r:id="rId16" xr:uid="{12EC93F6-3ECA-4FDC-BF65-11B0453EFD7E}"/>
    <hyperlink ref="C35" r:id="rId17" xr:uid="{67E38CC1-CD34-450A-B4B3-831CAFD3AD50}"/>
    <hyperlink ref="C36" r:id="rId18" xr:uid="{C1006C27-476E-4DE4-9D48-855B71DBB54A}"/>
    <hyperlink ref="C34" r:id="rId19" xr:uid="{F47CD84A-396A-4378-A446-F2EFF3BD6E60}"/>
    <hyperlink ref="B49" r:id="rId20" location=":~:text=Average%20ICEs%20contain%2018%2D49%20pounds%20of%20copper" xr:uid="{B279CFC7-62DF-40D0-BC52-18ABAB26D6AD}"/>
    <hyperlink ref="G62" r:id="rId21" xr:uid="{2DB6D08D-C5AA-4DF4-AEFC-2C447C0D9705}"/>
    <hyperlink ref="G61" r:id="rId22" xr:uid="{E912001A-CEE6-43E7-BB37-D9D6242BD823}"/>
    <hyperlink ref="D34" r:id="rId23" xr:uid="{F1BC028C-6DB9-4622-AD18-E5BC7023B40F}"/>
    <hyperlink ref="H65" r:id="rId24" xr:uid="{8A85D42D-08D8-42D4-918B-989780896814}"/>
    <hyperlink ref="F34" r:id="rId25" xr:uid="{6B28E4B9-8D4B-442A-B4AB-763FFBC26218}"/>
    <hyperlink ref="I36" r:id="rId26" xr:uid="{E06669BA-04EA-4ABE-8D3A-4FD5B8E2F649}"/>
  </hyperlinks>
  <pageMargins left="0.7" right="0.7" top="0.75" bottom="0.75" header="0.3" footer="0.3"/>
  <pageSetup orientation="portrait" r:id="rId2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94C2F-5F6E-4F90-AB37-928ECA4E4EE2}">
  <dimension ref="A1:W66"/>
  <sheetViews>
    <sheetView topLeftCell="A38" workbookViewId="0">
      <selection activeCell="S31" sqref="S31"/>
    </sheetView>
  </sheetViews>
  <sheetFormatPr defaultRowHeight="14.5" x14ac:dyDescent="0.35"/>
  <cols>
    <col min="2" max="2" width="29.36328125" customWidth="1"/>
    <col min="3" max="3" width="13.90625" customWidth="1"/>
    <col min="4" max="4" width="5.54296875" customWidth="1"/>
    <col min="5" max="5" width="7.6328125" customWidth="1"/>
    <col min="6" max="6" width="7.90625" customWidth="1"/>
    <col min="7" max="7" width="10" customWidth="1"/>
    <col min="8" max="8" width="11.81640625" customWidth="1"/>
    <col min="9" max="9" width="13" customWidth="1"/>
    <col min="12" max="12" width="10" customWidth="1"/>
    <col min="18" max="18" width="9.7265625" bestFit="1" customWidth="1"/>
    <col min="20" max="20" width="10.1796875" customWidth="1"/>
    <col min="22" max="22" width="10.7265625" bestFit="1" customWidth="1"/>
  </cols>
  <sheetData>
    <row r="1" spans="1:22" ht="28.5" x14ac:dyDescent="0.65">
      <c r="A1" s="2" t="str">
        <f>RawMaterialsBEV!A1</f>
        <v>Batteries - In debt cost and scalability analysis #22</v>
      </c>
    </row>
    <row r="3" spans="1:22" ht="15.5" x14ac:dyDescent="0.35">
      <c r="A3" s="1" t="str">
        <f>RawMaterialsBEV!A3</f>
        <v>Proprietary. © H. Mathiesen. This material can be used by others free of charge provided that the author H. Mathiesen is attributed and a clickable link is made visible to the location of used material on www.hmexperience.dk</v>
      </c>
    </row>
    <row r="4" spans="1:22" ht="15.5" x14ac:dyDescent="0.35">
      <c r="A4" s="1" t="str">
        <f>RawMaterialsBEV!A4</f>
        <v>Sources to all information used in this spreadsheet can also be found in associated PowerPoint presentation located also at www.hmexperience.dk</v>
      </c>
    </row>
    <row r="8" spans="1:22" ht="21.5" thickBot="1" x14ac:dyDescent="0.55000000000000004">
      <c r="B8" s="114" t="s">
        <v>328</v>
      </c>
      <c r="C8" s="116"/>
      <c r="D8" s="116"/>
      <c r="E8" s="116"/>
      <c r="F8" s="116"/>
      <c r="G8" s="116"/>
      <c r="H8" s="116"/>
      <c r="I8" s="116"/>
      <c r="K8" s="4" t="s">
        <v>254</v>
      </c>
    </row>
    <row r="9" spans="1:22" ht="15" thickTop="1" x14ac:dyDescent="0.35">
      <c r="B9" s="12" t="s">
        <v>2</v>
      </c>
      <c r="C9" s="13" t="s">
        <v>169</v>
      </c>
      <c r="D9" s="13" t="str">
        <f>RawMaterialsBEV!G8</f>
        <v xml:space="preserve">Data </v>
      </c>
      <c r="E9" s="13" t="s">
        <v>135</v>
      </c>
      <c r="F9" s="13" t="s">
        <v>157</v>
      </c>
      <c r="G9" s="13" t="str">
        <f>CostOfRawMaterialsBEV!F8</f>
        <v xml:space="preserve">Date of </v>
      </c>
      <c r="H9" s="14" t="s">
        <v>159</v>
      </c>
      <c r="I9" s="91" t="s">
        <v>183</v>
      </c>
      <c r="K9" s="8"/>
    </row>
    <row r="10" spans="1:22" x14ac:dyDescent="0.35">
      <c r="B10" s="15"/>
      <c r="C10" s="84" t="s">
        <v>170</v>
      </c>
      <c r="D10" s="84" t="str">
        <f>RawMaterialsBEV!G9</f>
        <v>year</v>
      </c>
      <c r="E10" s="84" t="s">
        <v>136</v>
      </c>
      <c r="F10" s="84" t="s">
        <v>158</v>
      </c>
      <c r="G10" s="84" t="str">
        <f>CostOfRawMaterialsBEV!F9</f>
        <v>price info</v>
      </c>
      <c r="H10" s="17" t="s">
        <v>160</v>
      </c>
      <c r="I10" s="92" t="s">
        <v>182</v>
      </c>
      <c r="K10" s="8"/>
    </row>
    <row r="11" spans="1:22" x14ac:dyDescent="0.35">
      <c r="B11" s="86" t="s">
        <v>458</v>
      </c>
      <c r="C11" s="68">
        <f>RawMaterialsBEV!F10</f>
        <v>3034000</v>
      </c>
      <c r="D11" s="87">
        <f>RawMaterialsBEV!G10</f>
        <v>2021</v>
      </c>
      <c r="E11" s="69">
        <f>C11/C33</f>
        <v>8.5530497180932863E-4</v>
      </c>
      <c r="F11" s="88">
        <f>CostOfRawMaterialsBEV!D10</f>
        <v>9.5</v>
      </c>
      <c r="G11" s="89">
        <f>CostOfRawMaterialsBEV!F10</f>
        <v>44166</v>
      </c>
      <c r="H11" s="90">
        <f>F11*C11*$P$17/$P$21</f>
        <v>28823</v>
      </c>
      <c r="I11" s="93">
        <f>RawMaterialsBEV!E10</f>
        <v>6143244.8000000007</v>
      </c>
      <c r="K11" s="8"/>
    </row>
    <row r="12" spans="1:22" x14ac:dyDescent="0.35">
      <c r="B12" s="86" t="s">
        <v>140</v>
      </c>
      <c r="C12" s="68">
        <v>1034000</v>
      </c>
      <c r="D12" s="87">
        <f>D11</f>
        <v>2021</v>
      </c>
      <c r="E12" s="97" t="s">
        <v>15</v>
      </c>
      <c r="F12" s="98" t="s">
        <v>15</v>
      </c>
      <c r="G12" s="99" t="s">
        <v>15</v>
      </c>
      <c r="H12" s="90">
        <f>H11*(C12/C11)</f>
        <v>9823</v>
      </c>
      <c r="I12" s="96" t="s">
        <v>15</v>
      </c>
      <c r="K12" s="8"/>
    </row>
    <row r="13" spans="1:22" x14ac:dyDescent="0.35">
      <c r="B13" s="86" t="s">
        <v>139</v>
      </c>
      <c r="C13" s="68">
        <v>2000000</v>
      </c>
      <c r="D13" s="87">
        <f>D11</f>
        <v>2021</v>
      </c>
      <c r="E13" s="97" t="s">
        <v>15</v>
      </c>
      <c r="F13" s="98" t="s">
        <v>15</v>
      </c>
      <c r="G13" s="99" t="s">
        <v>15</v>
      </c>
      <c r="H13" s="90">
        <f>H11*(C13/C11)</f>
        <v>19000</v>
      </c>
      <c r="I13" s="96" t="s">
        <v>15</v>
      </c>
      <c r="K13" s="8"/>
    </row>
    <row r="14" spans="1:22" x14ac:dyDescent="0.35">
      <c r="B14" s="18" t="s">
        <v>327</v>
      </c>
      <c r="C14" s="5">
        <f>RawMaterialsBEV!F11</f>
        <v>3300000</v>
      </c>
      <c r="D14">
        <f>RawMaterialsBEV!G11</f>
        <v>2022</v>
      </c>
      <c r="E14" s="103" t="s">
        <v>15</v>
      </c>
      <c r="F14" s="32">
        <f>CostOfRawMaterialsBEV!D12</f>
        <v>24.446999999999999</v>
      </c>
      <c r="G14" s="82">
        <f>CostOfRawMaterialsBEV!F12</f>
        <v>45055</v>
      </c>
      <c r="H14" s="83">
        <f>F14*C14*$P$17/$P$21</f>
        <v>80675.100000000006</v>
      </c>
      <c r="I14" s="95">
        <f>RawMaterialsBEV!E11</f>
        <v>6182400</v>
      </c>
      <c r="K14" s="8"/>
      <c r="P14" s="4" t="s">
        <v>163</v>
      </c>
      <c r="V14" s="5">
        <v>6600000</v>
      </c>
    </row>
    <row r="15" spans="1:22" x14ac:dyDescent="0.35">
      <c r="B15" s="18" t="s">
        <v>251</v>
      </c>
      <c r="C15" s="5">
        <f>(1/K15)*C14</f>
        <v>275000000</v>
      </c>
      <c r="D15">
        <f>D14</f>
        <v>2022</v>
      </c>
      <c r="E15" s="8">
        <f>C15/C33</f>
        <v>7.7524346488980017E-2</v>
      </c>
      <c r="F15" s="100" t="s">
        <v>15</v>
      </c>
      <c r="G15" s="101" t="s">
        <v>15</v>
      </c>
      <c r="H15" s="102" t="s">
        <v>15</v>
      </c>
      <c r="I15" s="95">
        <f>(1/K15)*I14</f>
        <v>515200000</v>
      </c>
      <c r="K15" s="8">
        <v>1.2E-2</v>
      </c>
      <c r="V15" s="37">
        <f>(1/K15)*V14</f>
        <v>550000000</v>
      </c>
    </row>
    <row r="16" spans="1:22" x14ac:dyDescent="0.35">
      <c r="B16" s="86" t="s">
        <v>53</v>
      </c>
      <c r="C16" s="68">
        <f>RawMaterialsBEV!F12</f>
        <v>689000</v>
      </c>
      <c r="D16" s="87">
        <f>RawMaterialsBEV!G12</f>
        <v>2022</v>
      </c>
      <c r="E16" s="69"/>
      <c r="F16" s="88">
        <f>CostOfRawMaterialsBEV!D13</f>
        <v>32.333210000000001</v>
      </c>
      <c r="G16" s="89">
        <f>CostOfRawMaterialsBEV!F13</f>
        <v>45065</v>
      </c>
      <c r="H16" s="90">
        <f>F16*C16*$P$17/$P$21</f>
        <v>22277.581689999999</v>
      </c>
      <c r="I16" s="93">
        <f>RawMaterialsBEV!E12</f>
        <v>4423507.1999999993</v>
      </c>
      <c r="K16" s="8"/>
      <c r="P16" t="s">
        <v>132</v>
      </c>
    </row>
    <row r="17" spans="2:16" x14ac:dyDescent="0.35">
      <c r="B17" s="86" t="s">
        <v>324</v>
      </c>
      <c r="C17" s="68">
        <f>RawMaterialsBEV!F13</f>
        <v>130000</v>
      </c>
      <c r="D17" s="87">
        <f>RawMaterialsBEV!G13</f>
        <v>2022</v>
      </c>
      <c r="E17" s="69"/>
      <c r="F17" s="88">
        <f>CostOfRawMaterialsBEV!D14</f>
        <v>171.36601300000001</v>
      </c>
      <c r="G17" s="89">
        <f>CostOfRawMaterialsBEV!F14</f>
        <v>45065</v>
      </c>
      <c r="H17" s="90">
        <f>F17*C17*$P$17/$P$21</f>
        <v>22277.581689999999</v>
      </c>
      <c r="I17" s="93">
        <f>RawMaterialsBEV!E13</f>
        <v>834623.99999999988</v>
      </c>
      <c r="K17" s="8"/>
      <c r="P17">
        <v>1000</v>
      </c>
    </row>
    <row r="18" spans="2:16" x14ac:dyDescent="0.35">
      <c r="B18" s="86" t="s">
        <v>252</v>
      </c>
      <c r="C18" s="68">
        <f>(1/K18)*C17</f>
        <v>18571428.571428571</v>
      </c>
      <c r="D18" s="87">
        <f>D17</f>
        <v>2022</v>
      </c>
      <c r="E18" s="69">
        <f>C18/C33</f>
        <v>5.2354104122428061E-3</v>
      </c>
      <c r="F18" s="88" t="s">
        <v>15</v>
      </c>
      <c r="G18" s="89" t="s">
        <v>15</v>
      </c>
      <c r="H18" s="90" t="s">
        <v>15</v>
      </c>
      <c r="I18" s="93">
        <f>(1/K18)*I17</f>
        <v>119231999.99999999</v>
      </c>
      <c r="K18" s="8">
        <v>7.0000000000000001E-3</v>
      </c>
      <c r="L18" s="8">
        <f>I18/C33</f>
        <v>3.3612301383905689E-2</v>
      </c>
    </row>
    <row r="19" spans="2:16" x14ac:dyDescent="0.35">
      <c r="B19" s="18" t="s">
        <v>187</v>
      </c>
      <c r="C19" s="5">
        <f>RawMaterialsBEV!F14</f>
        <v>21840000</v>
      </c>
      <c r="D19">
        <f>RawMaterialsBEV!G14</f>
        <v>2022</v>
      </c>
      <c r="E19" s="103" t="s">
        <v>15</v>
      </c>
      <c r="F19" s="32">
        <f>CostOfRawMaterialsBEV!D16</f>
        <v>8.2297600000000006</v>
      </c>
      <c r="G19" s="82">
        <f>CostOfRawMaterialsBEV!F16</f>
        <v>45065</v>
      </c>
      <c r="H19" s="83">
        <f>F19*C19*$P$17/$P$21</f>
        <v>179737.9584</v>
      </c>
      <c r="I19" s="95">
        <f>RawMaterialsBEV!E14</f>
        <v>9100000</v>
      </c>
      <c r="K19" s="8"/>
      <c r="P19" t="s">
        <v>133</v>
      </c>
    </row>
    <row r="20" spans="2:16" x14ac:dyDescent="0.35">
      <c r="B20" s="18" t="s">
        <v>138</v>
      </c>
      <c r="C20" s="5">
        <f>(1/K20)*C19</f>
        <v>3640000000</v>
      </c>
      <c r="D20">
        <f>D19</f>
        <v>2022</v>
      </c>
      <c r="E20" s="8">
        <f>C20/C33</f>
        <v>1.02614044079959</v>
      </c>
      <c r="F20" s="100" t="s">
        <v>15</v>
      </c>
      <c r="G20" s="101" t="s">
        <v>15</v>
      </c>
      <c r="H20" s="102" t="s">
        <v>15</v>
      </c>
      <c r="I20" s="95">
        <f>(1/K20)*I19</f>
        <v>1516666666.6666665</v>
      </c>
      <c r="K20" s="8">
        <v>6.0000000000000001E-3</v>
      </c>
    </row>
    <row r="21" spans="2:16" x14ac:dyDescent="0.35">
      <c r="B21" s="86" t="s">
        <v>250</v>
      </c>
      <c r="C21" s="68">
        <f>RawMaterialsBEV!F15</f>
        <v>20090000</v>
      </c>
      <c r="D21" s="87">
        <f>RawMaterialsBEV!G15</f>
        <v>2022</v>
      </c>
      <c r="E21" s="69"/>
      <c r="F21" s="88">
        <f>CostOfRawMaterialsBEV!D17</f>
        <v>4.6190299999999995</v>
      </c>
      <c r="G21" s="89">
        <f>CostOfRawMaterialsBEV!F17</f>
        <v>45010</v>
      </c>
      <c r="H21" s="90">
        <f>F21*C21*$P$17/$P$21</f>
        <v>92796.31269999998</v>
      </c>
      <c r="I21" s="93">
        <f>RawMaterialsBEV!E15</f>
        <v>1000000</v>
      </c>
      <c r="K21" s="8"/>
      <c r="P21" s="5">
        <v>1000000</v>
      </c>
    </row>
    <row r="22" spans="2:16" x14ac:dyDescent="0.35">
      <c r="B22" s="86" t="s">
        <v>609</v>
      </c>
      <c r="C22" s="68">
        <v>49500000</v>
      </c>
      <c r="D22" s="87">
        <v>2021</v>
      </c>
      <c r="E22" s="69">
        <f>C22/C33</f>
        <v>1.3954382368016403E-2</v>
      </c>
      <c r="F22" s="97" t="s">
        <v>15</v>
      </c>
      <c r="G22" s="98" t="s">
        <v>15</v>
      </c>
      <c r="H22" s="99" t="s">
        <v>15</v>
      </c>
      <c r="I22" s="93">
        <f>(1/K22)*I21</f>
        <v>2463912.3942259829</v>
      </c>
      <c r="K22" s="8">
        <f>C21/C22</f>
        <v>0.40585858585858586</v>
      </c>
      <c r="P22" s="5"/>
    </row>
    <row r="23" spans="2:16" x14ac:dyDescent="0.35">
      <c r="B23" s="18" t="s">
        <v>220</v>
      </c>
      <c r="C23" s="5">
        <f>RawMaterialsBEV!F16</f>
        <v>1022000</v>
      </c>
      <c r="D23">
        <f>RawMaterialsBEV!G16</f>
        <v>2022</v>
      </c>
      <c r="E23" s="8"/>
      <c r="F23" s="32">
        <f>CostOfRawMaterialsBEV!D18</f>
        <v>3.8089232000000002</v>
      </c>
      <c r="G23" s="82">
        <f>CostOfRawMaterialsBEV!F18</f>
        <v>45031</v>
      </c>
      <c r="H23" s="83">
        <f>F23*C23*$P$17/$P$21</f>
        <v>3892.7195104000002</v>
      </c>
      <c r="I23" s="95">
        <f>RawMaterialsBEV!E16</f>
        <v>2000000</v>
      </c>
      <c r="K23" s="8"/>
      <c r="P23" s="5"/>
    </row>
    <row r="24" spans="2:16" x14ac:dyDescent="0.35">
      <c r="B24" s="18" t="s">
        <v>255</v>
      </c>
      <c r="C24" s="5">
        <v>26450000</v>
      </c>
      <c r="D24">
        <f>D23</f>
        <v>2022</v>
      </c>
      <c r="E24" s="8">
        <f>C24/$C$33</f>
        <v>7.4564325986673508E-3</v>
      </c>
      <c r="F24" s="103"/>
      <c r="G24" s="100"/>
      <c r="H24" s="101"/>
      <c r="I24" s="95">
        <f>(1/K24)*I23</f>
        <v>51761252.44618395</v>
      </c>
      <c r="K24" s="8">
        <f>C23/C24</f>
        <v>3.8638941398865784E-2</v>
      </c>
      <c r="L24" t="s">
        <v>256</v>
      </c>
      <c r="P24" s="8">
        <f>C23/C24</f>
        <v>3.8638941398865784E-2</v>
      </c>
    </row>
    <row r="25" spans="2:16" x14ac:dyDescent="0.35">
      <c r="B25" s="86" t="s">
        <v>245</v>
      </c>
      <c r="C25" s="68">
        <f>RawMaterialsBEV!F17</f>
        <v>13800000</v>
      </c>
      <c r="D25" s="87">
        <f>RawMaterialsBEV!G17</f>
        <v>2021</v>
      </c>
      <c r="E25" s="69"/>
      <c r="F25" s="88">
        <f>CostOfRawMaterialsBEV!D19</f>
        <v>2.673</v>
      </c>
      <c r="G25" s="89">
        <f>CostOfRawMaterialsBEV!F19</f>
        <v>45055</v>
      </c>
      <c r="H25" s="90">
        <f>F25*C25*$P$17/$P$21</f>
        <v>36887.4</v>
      </c>
      <c r="I25" s="93">
        <f>RawMaterialsBEV!E17</f>
        <v>1750000</v>
      </c>
      <c r="K25" s="8"/>
      <c r="P25" s="8"/>
    </row>
    <row r="26" spans="2:16" x14ac:dyDescent="0.35">
      <c r="B26" s="86" t="s">
        <v>246</v>
      </c>
      <c r="C26" s="68">
        <f>(1/K26)*C25</f>
        <v>276000000</v>
      </c>
      <c r="D26" s="87">
        <f>D25</f>
        <v>2021</v>
      </c>
      <c r="E26" s="69">
        <f>C26/$C$33</f>
        <v>7.7806253203485401E-2</v>
      </c>
      <c r="F26" s="88"/>
      <c r="G26" s="98"/>
      <c r="H26" s="99"/>
      <c r="I26" s="93">
        <f>(1/K26)*I25</f>
        <v>35000000</v>
      </c>
      <c r="K26" s="8">
        <v>0.05</v>
      </c>
      <c r="P26" s="8"/>
    </row>
    <row r="27" spans="2:16" x14ac:dyDescent="0.35">
      <c r="B27" s="18" t="s">
        <v>325</v>
      </c>
      <c r="C27" s="5">
        <f>RawMaterialsBEV!F18</f>
        <v>190000</v>
      </c>
      <c r="D27">
        <f>RawMaterialsBEV!G18</f>
        <v>2022</v>
      </c>
      <c r="E27" s="103" t="s">
        <v>15</v>
      </c>
      <c r="F27" s="32">
        <f>CostOfRawMaterialsBEV!D20</f>
        <v>34.93</v>
      </c>
      <c r="G27" s="82">
        <f>CostOfRawMaterialsBEV!F20</f>
        <v>45055</v>
      </c>
      <c r="H27" s="83">
        <f>F27*C27*$P$17/$P$21</f>
        <v>6636.7</v>
      </c>
      <c r="I27" s="95">
        <f>RawMaterialsBEV!E18</f>
        <v>618240</v>
      </c>
      <c r="K27" s="8"/>
      <c r="P27" t="s">
        <v>147</v>
      </c>
    </row>
    <row r="28" spans="2:16" x14ac:dyDescent="0.35">
      <c r="B28" s="18" t="s">
        <v>219</v>
      </c>
      <c r="C28" s="5">
        <f>(1/K28)*C27</f>
        <v>95000000</v>
      </c>
      <c r="D28">
        <v>2022</v>
      </c>
      <c r="E28" s="8">
        <f>C28/$C$33</f>
        <v>2.6781137878011278E-2</v>
      </c>
      <c r="F28" s="32"/>
      <c r="G28" s="82"/>
      <c r="H28" s="83"/>
      <c r="I28" s="95">
        <f>(1/K28)*I27</f>
        <v>309120000</v>
      </c>
      <c r="K28" s="8">
        <v>2E-3</v>
      </c>
    </row>
    <row r="29" spans="2:16" x14ac:dyDescent="0.35">
      <c r="B29" s="86" t="s">
        <v>186</v>
      </c>
      <c r="C29" s="68">
        <f>RawMaterialsBEV!F19</f>
        <v>300000</v>
      </c>
      <c r="D29" s="87">
        <f>RawMaterialsBEV!G19</f>
        <v>2019</v>
      </c>
      <c r="E29" s="97" t="s">
        <v>15</v>
      </c>
      <c r="F29" s="88">
        <f>CostOfRawMaterialsBEV!D21</f>
        <v>79.589439999999996</v>
      </c>
      <c r="G29" s="89">
        <f>CostOfRawMaterialsBEV!F21</f>
        <v>45055</v>
      </c>
      <c r="H29" s="90">
        <f>F29*C29*$P$17/$P$21</f>
        <v>23876.831999999999</v>
      </c>
      <c r="I29" s="93">
        <f>RawMaterialsBEV!E19</f>
        <v>90000</v>
      </c>
      <c r="K29" s="8"/>
      <c r="P29" s="8">
        <f>C30/C31</f>
        <v>0.17894736842105263</v>
      </c>
    </row>
    <row r="30" spans="2:16" x14ac:dyDescent="0.35">
      <c r="B30" s="18" t="s">
        <v>464</v>
      </c>
      <c r="C30" s="5">
        <f>RawMaterialsBEV!F20</f>
        <v>68000000</v>
      </c>
      <c r="D30">
        <f>RawMaterialsBEV!G20</f>
        <v>2022</v>
      </c>
      <c r="E30" s="103" t="s">
        <v>15</v>
      </c>
      <c r="F30" s="32">
        <f>CostOfRawMaterialsBEV!D22</f>
        <v>2.3479999999999999</v>
      </c>
      <c r="G30" s="82">
        <f>CostOfRawMaterialsBEV!F22</f>
        <v>45010</v>
      </c>
      <c r="H30" s="83">
        <f>F30*C30*$P$17/$P$21</f>
        <v>159664</v>
      </c>
      <c r="I30" s="95">
        <f>RawMaterialsBEV!E20</f>
        <v>16900000</v>
      </c>
      <c r="K30" s="8"/>
    </row>
    <row r="31" spans="2:16" x14ac:dyDescent="0.35">
      <c r="B31" s="18" t="s">
        <v>467</v>
      </c>
      <c r="C31" s="5">
        <v>380000000</v>
      </c>
      <c r="D31">
        <v>2022</v>
      </c>
      <c r="E31" s="8">
        <f>C31/$C$33</f>
        <v>0.10712455151204511</v>
      </c>
      <c r="F31" s="100" t="s">
        <v>15</v>
      </c>
      <c r="G31" s="101" t="s">
        <v>15</v>
      </c>
      <c r="H31" s="102" t="s">
        <v>15</v>
      </c>
      <c r="I31" s="95">
        <f>(1/K31)*I30</f>
        <v>94441176.470588237</v>
      </c>
      <c r="K31" s="8">
        <f>C30/C31</f>
        <v>0.17894736842105263</v>
      </c>
    </row>
    <row r="32" spans="2:16" x14ac:dyDescent="0.35">
      <c r="B32" s="86" t="s">
        <v>189</v>
      </c>
      <c r="C32" s="68">
        <f>RawMaterialsBEV!F21</f>
        <v>1951000000</v>
      </c>
      <c r="D32" s="87">
        <f>RawMaterialsBEV!G21</f>
        <v>2021</v>
      </c>
      <c r="E32" s="69"/>
      <c r="F32" s="88">
        <f>CostOfRawMaterialsBEV!D23</f>
        <v>0.52258994800000003</v>
      </c>
      <c r="G32" s="89">
        <f>CostOfRawMaterialsBEV!F23</f>
        <v>45055</v>
      </c>
      <c r="H32" s="90">
        <f>F32*C32*$P$17/$P$21</f>
        <v>1019572.9885480001</v>
      </c>
      <c r="I32" s="93">
        <f>RawMaterialsBEV!E21</f>
        <v>90000000</v>
      </c>
      <c r="K32" s="8"/>
    </row>
    <row r="33" spans="2:23" x14ac:dyDescent="0.35">
      <c r="B33" s="86" t="s">
        <v>578</v>
      </c>
      <c r="C33" s="68">
        <f>(1/K33)*C32</f>
        <v>3547272727.272727</v>
      </c>
      <c r="D33" s="87">
        <v>2021</v>
      </c>
      <c r="E33" s="69">
        <v>1</v>
      </c>
      <c r="F33" s="88">
        <v>0.107</v>
      </c>
      <c r="G33" s="89">
        <v>45055</v>
      </c>
      <c r="H33" s="90">
        <f>F33*C33*$P$17/$P$21</f>
        <v>379558.18181818177</v>
      </c>
      <c r="I33" s="93">
        <f>(1/K33)*I32</f>
        <v>163636363.63636363</v>
      </c>
      <c r="K33" s="8">
        <f>MiningReserves!M44</f>
        <v>0.55000000000000004</v>
      </c>
    </row>
    <row r="34" spans="2:23" x14ac:dyDescent="0.35">
      <c r="B34" s="18" t="s">
        <v>191</v>
      </c>
      <c r="C34" s="5">
        <v>7700000000</v>
      </c>
      <c r="D34">
        <v>2021</v>
      </c>
      <c r="E34" s="8">
        <f>C34/$C$33</f>
        <v>2.1706817016914406</v>
      </c>
      <c r="F34" s="32">
        <f>S34/P17</f>
        <v>0.16200000000000001</v>
      </c>
      <c r="G34" s="82">
        <f>R34</f>
        <v>45066</v>
      </c>
      <c r="H34" s="83">
        <f>F34*C34*$P$17/$P$21</f>
        <v>1247400</v>
      </c>
      <c r="I34" s="112">
        <v>0</v>
      </c>
      <c r="K34" s="8"/>
      <c r="L34" t="s">
        <v>152</v>
      </c>
      <c r="Q34" t="s">
        <v>153</v>
      </c>
      <c r="R34" s="82">
        <v>45066</v>
      </c>
      <c r="S34">
        <v>162</v>
      </c>
      <c r="T34" t="s">
        <v>863</v>
      </c>
      <c r="U34" t="s">
        <v>86</v>
      </c>
      <c r="V34" s="9" t="s">
        <v>150</v>
      </c>
      <c r="W34" t="s">
        <v>15</v>
      </c>
    </row>
    <row r="35" spans="2:23" x14ac:dyDescent="0.35">
      <c r="B35" s="86" t="s">
        <v>192</v>
      </c>
      <c r="C35" s="68">
        <v>4200000000</v>
      </c>
      <c r="D35" s="87">
        <v>2021</v>
      </c>
      <c r="E35" s="69">
        <f>C35/$C$33</f>
        <v>1.1840082009226038</v>
      </c>
      <c r="F35" s="88">
        <f>S35*P39/P17</f>
        <v>0.52409499999999998</v>
      </c>
      <c r="G35" s="89">
        <f>R35</f>
        <v>45066</v>
      </c>
      <c r="H35" s="90">
        <f>F35*C35*$P$17/$P$21</f>
        <v>2201199</v>
      </c>
      <c r="I35" s="94">
        <v>0</v>
      </c>
      <c r="K35" s="8"/>
      <c r="L35" t="s">
        <v>154</v>
      </c>
      <c r="Q35" t="s">
        <v>153</v>
      </c>
      <c r="R35" s="82">
        <v>45066</v>
      </c>
      <c r="S35">
        <v>71.5</v>
      </c>
      <c r="T35" t="s">
        <v>155</v>
      </c>
      <c r="U35" t="s">
        <v>86</v>
      </c>
      <c r="V35" s="9" t="s">
        <v>156</v>
      </c>
      <c r="W35" t="s">
        <v>15</v>
      </c>
    </row>
    <row r="36" spans="2:23" x14ac:dyDescent="0.35">
      <c r="B36" s="18" t="s">
        <v>193</v>
      </c>
      <c r="C36" s="5">
        <f>P42*P46/P39</f>
        <v>3743516180.0818553</v>
      </c>
      <c r="D36">
        <v>2021</v>
      </c>
      <c r="E36" s="8">
        <f>C36/$C$33</f>
        <v>1.0553223470246134</v>
      </c>
      <c r="F36" s="32">
        <f>P60</f>
        <v>0.34043158800000001</v>
      </c>
      <c r="G36" s="82">
        <f>R36</f>
        <v>45066</v>
      </c>
      <c r="H36" s="83">
        <f>F36*C36*$P$17/$P$21</f>
        <v>1274411.1578889599</v>
      </c>
      <c r="I36" s="112">
        <v>0</v>
      </c>
      <c r="K36" s="8"/>
      <c r="L36" t="s">
        <v>171</v>
      </c>
      <c r="Q36" t="s">
        <v>153</v>
      </c>
      <c r="R36" s="82">
        <v>45066</v>
      </c>
      <c r="S36">
        <v>68.400000000000006</v>
      </c>
      <c r="T36" t="s">
        <v>173</v>
      </c>
      <c r="U36" t="s">
        <v>86</v>
      </c>
      <c r="V36" s="9" t="s">
        <v>172</v>
      </c>
      <c r="W36" t="s">
        <v>15</v>
      </c>
    </row>
    <row r="37" spans="2:23" ht="15" thickBot="1" x14ac:dyDescent="0.4">
      <c r="B37" s="108"/>
      <c r="C37" s="109"/>
      <c r="D37" s="109"/>
      <c r="E37" s="109"/>
      <c r="F37" s="109"/>
      <c r="G37" s="109"/>
      <c r="H37" s="110"/>
      <c r="I37" s="111"/>
      <c r="K37" s="8"/>
      <c r="P37" t="s">
        <v>153</v>
      </c>
    </row>
    <row r="38" spans="2:23" ht="15" thickTop="1" x14ac:dyDescent="0.35">
      <c r="B38" s="117" t="s">
        <v>463</v>
      </c>
      <c r="C38" s="116"/>
      <c r="D38" s="116"/>
      <c r="E38" s="116"/>
      <c r="F38" s="116"/>
      <c r="G38" s="116"/>
      <c r="H38" s="116"/>
      <c r="I38" s="116"/>
      <c r="P38" t="s">
        <v>161</v>
      </c>
    </row>
    <row r="39" spans="2:23" x14ac:dyDescent="0.35">
      <c r="P39">
        <v>7.33</v>
      </c>
      <c r="Q39" t="s">
        <v>86</v>
      </c>
      <c r="R39" s="9" t="s">
        <v>162</v>
      </c>
    </row>
    <row r="41" spans="2:23" x14ac:dyDescent="0.35">
      <c r="B41" s="6" t="str">
        <f>RawMaterialsBEV!B25</f>
        <v>Sources and attribution</v>
      </c>
      <c r="C41" s="7"/>
      <c r="D41" s="7"/>
      <c r="E41" s="7"/>
      <c r="F41" s="7"/>
      <c r="G41" s="7"/>
      <c r="H41" s="7"/>
      <c r="I41" s="6" t="s">
        <v>253</v>
      </c>
      <c r="P41" t="s">
        <v>165</v>
      </c>
    </row>
    <row r="42" spans="2:23" x14ac:dyDescent="0.35">
      <c r="P42">
        <v>4090</v>
      </c>
      <c r="Q42" t="s">
        <v>166</v>
      </c>
      <c r="R42" t="s">
        <v>86</v>
      </c>
      <c r="S42" t="str">
        <f>C66</f>
        <v>https://www.statista.com/statistics/265344/total-global-natural-gas-production-since-1998/</v>
      </c>
    </row>
    <row r="43" spans="2:23" x14ac:dyDescent="0.35">
      <c r="B43" s="4" t="str">
        <f>RawMaterialsBEV!B27</f>
        <v>Material type</v>
      </c>
      <c r="C43" s="4" t="str">
        <f>RawMaterialsBEV!F27</f>
        <v xml:space="preserve">Global production </v>
      </c>
      <c r="D43" s="4" t="str">
        <f>RawMaterialsBEV!G27</f>
        <v>Data year</v>
      </c>
      <c r="E43" s="4"/>
      <c r="F43" s="4" t="str">
        <f>CostOfRawMaterialsBEV!D30</f>
        <v>Price per kg</v>
      </c>
      <c r="P43" t="s">
        <v>153</v>
      </c>
      <c r="Q43">
        <v>2021</v>
      </c>
    </row>
    <row r="44" spans="2:23" x14ac:dyDescent="0.35">
      <c r="C44" t="str">
        <f>RawMaterialsBEV!F28</f>
        <v>in tons</v>
      </c>
    </row>
    <row r="45" spans="2:23" x14ac:dyDescent="0.35">
      <c r="B45" s="4" t="str">
        <f>RawMaterialsBEV!B29</f>
        <v>Graphite battery cells 19% 83kWh</v>
      </c>
      <c r="C45" s="9" t="str">
        <f>RawMaterialsBEV!F29</f>
        <v>https://natural-resources.canada.ca/our-natural-resources/minerals-mining/minerals-metals-facts/graphite-facts/24027</v>
      </c>
      <c r="D45" t="s">
        <v>142</v>
      </c>
      <c r="F45" s="9" t="s">
        <v>56</v>
      </c>
      <c r="G45" t="s">
        <v>15</v>
      </c>
      <c r="P45" t="s">
        <v>167</v>
      </c>
    </row>
    <row r="46" spans="2:23" x14ac:dyDescent="0.35">
      <c r="B46" s="4" t="str">
        <f>RawMaterialsBEV!B30</f>
        <v>Nickel battery cells 20% 83kWh</v>
      </c>
      <c r="C46" s="9" t="s">
        <v>14</v>
      </c>
      <c r="D46" t="s">
        <v>15</v>
      </c>
      <c r="F46" s="9" t="s">
        <v>35</v>
      </c>
      <c r="G46" t="s">
        <v>15</v>
      </c>
      <c r="P46" s="5">
        <v>6709040</v>
      </c>
      <c r="Q46" t="s">
        <v>86</v>
      </c>
      <c r="R46" s="9" t="s">
        <v>168</v>
      </c>
    </row>
    <row r="47" spans="2:23" x14ac:dyDescent="0.35">
      <c r="B47" s="4" t="str">
        <f>B15</f>
        <v>Nickel ore at 1.2%</v>
      </c>
      <c r="C47" s="9" t="s">
        <v>217</v>
      </c>
      <c r="D47" t="s">
        <v>218</v>
      </c>
      <c r="F47" s="9"/>
      <c r="I47" s="9" t="s">
        <v>141</v>
      </c>
      <c r="J47" t="s">
        <v>15</v>
      </c>
    </row>
    <row r="48" spans="2:23" x14ac:dyDescent="0.35">
      <c r="B48" s="4" t="str">
        <f>RawMaterialsBEV!B31</f>
        <v xml:space="preserve">Lithium carbonate or equivalent </v>
      </c>
      <c r="C48" s="9" t="str">
        <f>RawMaterialsBEV!F31</f>
        <v>https://www.visualcapitalist.com/visualizing-25-years-of-lithium-production-by-country/</v>
      </c>
      <c r="D48" t="s">
        <v>143</v>
      </c>
      <c r="F48" s="9" t="s">
        <v>41</v>
      </c>
      <c r="G48" t="s">
        <v>15</v>
      </c>
      <c r="P48" t="s">
        <v>174</v>
      </c>
    </row>
    <row r="49" spans="2:20" x14ac:dyDescent="0.35">
      <c r="B49" s="18" t="str">
        <f>RawMaterialsBEV!B32</f>
        <v>Lithium battery cells 2.7% 83kWh</v>
      </c>
      <c r="C49" s="9" t="str">
        <f>RawMaterialsBEV!F32</f>
        <v>https://www.statista.com/statistics/606684/world-production-of-lithium/?ssp=1&amp;darkschemeovr=1&amp;setlang=en-XL&amp;safesearch=moderate</v>
      </c>
      <c r="D49" t="s">
        <v>15</v>
      </c>
      <c r="F49" t="s">
        <v>15</v>
      </c>
      <c r="G49" t="s">
        <v>15</v>
      </c>
    </row>
    <row r="50" spans="2:20" x14ac:dyDescent="0.35">
      <c r="B50" s="4" t="str">
        <f>B18</f>
        <v>Lithium ore at 0.7%</v>
      </c>
      <c r="C50" s="9" t="s">
        <v>217</v>
      </c>
      <c r="D50" t="s">
        <v>218</v>
      </c>
      <c r="I50" s="9" t="s">
        <v>184</v>
      </c>
      <c r="J50" t="s">
        <v>185</v>
      </c>
      <c r="K50" t="s">
        <v>15</v>
      </c>
    </row>
    <row r="51" spans="2:20" x14ac:dyDescent="0.35">
      <c r="B51" s="4" t="str">
        <f>RawMaterialsBEV!B33</f>
        <v>Copper (battery, motor, wires)</v>
      </c>
      <c r="C51" s="9" t="s">
        <v>22</v>
      </c>
      <c r="D51" t="s">
        <v>15</v>
      </c>
      <c r="F51" s="9" t="s">
        <v>45</v>
      </c>
      <c r="G51" t="s">
        <v>15</v>
      </c>
      <c r="P51">
        <f>1.25/100</f>
        <v>1.2500000000000001E-2</v>
      </c>
      <c r="Q51" t="s">
        <v>153</v>
      </c>
      <c r="R51" s="82">
        <v>45022</v>
      </c>
      <c r="S51" t="s">
        <v>86</v>
      </c>
      <c r="T51" s="9" t="s">
        <v>177</v>
      </c>
    </row>
    <row r="52" spans="2:20" x14ac:dyDescent="0.35">
      <c r="B52" s="4" t="str">
        <f>B20</f>
        <v>Copper ore at 0.6%</v>
      </c>
      <c r="C52" s="9" t="s">
        <v>137</v>
      </c>
      <c r="D52" t="s">
        <v>15</v>
      </c>
      <c r="R52" s="82"/>
      <c r="T52" s="9"/>
    </row>
    <row r="53" spans="2:20" x14ac:dyDescent="0.35">
      <c r="B53" s="4" t="str">
        <f>RawMaterialsBEV!B34</f>
        <v>Manganese (batteries, steel alloy)</v>
      </c>
      <c r="C53" s="9" t="s">
        <v>14</v>
      </c>
      <c r="D53" t="s">
        <v>15</v>
      </c>
      <c r="F53" s="9" t="s">
        <v>46</v>
      </c>
      <c r="G53" t="s">
        <v>15</v>
      </c>
      <c r="P53" t="s">
        <v>175</v>
      </c>
    </row>
    <row r="54" spans="2:20" x14ac:dyDescent="0.35">
      <c r="B54" s="4" t="str">
        <f>B22</f>
        <v xml:space="preserve">Manganese ore </v>
      </c>
      <c r="C54" s="9" t="s">
        <v>610</v>
      </c>
      <c r="D54" s="9" t="s">
        <v>144</v>
      </c>
      <c r="F54" s="9"/>
      <c r="P54" s="65">
        <f>S36*P51</f>
        <v>0.85500000000000009</v>
      </c>
      <c r="Q54" t="s">
        <v>176</v>
      </c>
    </row>
    <row r="55" spans="2:20" x14ac:dyDescent="0.35">
      <c r="B55" s="18" t="s">
        <v>245</v>
      </c>
      <c r="C55" s="9" t="s">
        <v>244</v>
      </c>
      <c r="D55" t="s">
        <v>15</v>
      </c>
      <c r="F55" s="9"/>
      <c r="P55" t="s">
        <v>178</v>
      </c>
    </row>
    <row r="56" spans="2:20" x14ac:dyDescent="0.35">
      <c r="B56" s="18" t="s">
        <v>246</v>
      </c>
      <c r="C56" s="9" t="s">
        <v>247</v>
      </c>
      <c r="D56" t="s">
        <v>15</v>
      </c>
      <c r="F56" s="9"/>
      <c r="P56">
        <v>54.32</v>
      </c>
      <c r="Q56" t="s">
        <v>86</v>
      </c>
      <c r="R56" s="9" t="s">
        <v>168</v>
      </c>
    </row>
    <row r="57" spans="2:20" x14ac:dyDescent="0.35">
      <c r="B57" s="4" t="str">
        <f>RawMaterialsBEV!B37</f>
        <v>Cobalt in battery cells 2%, 83kWh</v>
      </c>
      <c r="C57" s="9" t="s">
        <v>14</v>
      </c>
      <c r="D57" t="s">
        <v>15</v>
      </c>
      <c r="F57" s="9" t="s">
        <v>44</v>
      </c>
      <c r="G57" t="s">
        <v>15</v>
      </c>
      <c r="P57" t="s">
        <v>179</v>
      </c>
    </row>
    <row r="58" spans="2:20" x14ac:dyDescent="0.35">
      <c r="B58" s="4" t="str">
        <f>B28</f>
        <v>Cobalt ore at 0.2%</v>
      </c>
      <c r="C58" s="9" t="s">
        <v>217</v>
      </c>
      <c r="D58" t="s">
        <v>218</v>
      </c>
      <c r="F58" s="9"/>
      <c r="P58">
        <f>P56*P54</f>
        <v>46.443600000000004</v>
      </c>
      <c r="Q58" t="s">
        <v>180</v>
      </c>
    </row>
    <row r="59" spans="2:20" x14ac:dyDescent="0.35">
      <c r="B59" s="4" t="str">
        <f>RawMaterialsBEV!B38</f>
        <v>Rare earth (fx Nd, Pr, Dy, Tb)</v>
      </c>
      <c r="C59" s="85" t="s">
        <v>19</v>
      </c>
      <c r="D59" t="s">
        <v>15</v>
      </c>
      <c r="F59" s="9" t="s">
        <v>47</v>
      </c>
      <c r="G59" t="s">
        <v>15</v>
      </c>
      <c r="P59" t="s">
        <v>181</v>
      </c>
    </row>
    <row r="60" spans="2:20" x14ac:dyDescent="0.35">
      <c r="B60" s="4" t="str">
        <f>RawMaterialsBEV!B39</f>
        <v>Aluminum (vehicle GM Volt))</v>
      </c>
      <c r="C60" s="9" t="s">
        <v>190</v>
      </c>
      <c r="D60" t="s">
        <v>15</v>
      </c>
      <c r="F60" s="9" t="s">
        <v>49</v>
      </c>
      <c r="G60" t="s">
        <v>15</v>
      </c>
      <c r="P60">
        <f>P58*P39/P17</f>
        <v>0.34043158800000001</v>
      </c>
    </row>
    <row r="61" spans="2:20" x14ac:dyDescent="0.35">
      <c r="B61" s="4" t="str">
        <f>B31</f>
        <v>Aluminium ore Bauxite at 18%</v>
      </c>
      <c r="C61" s="9" t="s">
        <v>146</v>
      </c>
      <c r="D61" t="s">
        <v>15</v>
      </c>
      <c r="F61" s="9"/>
    </row>
    <row r="62" spans="2:20" x14ac:dyDescent="0.35">
      <c r="B62" s="4" t="str">
        <f>RawMaterialsBEV!B40</f>
        <v>Crude steel https://kdmfab.com/mild-steel-vs-stainless-steel/</v>
      </c>
      <c r="C62" s="9" t="str">
        <f>RawMaterialsBEV!F40</f>
        <v>https://worldsteel.org/steel-topics/statistics/world-steel-in-figures-2022/</v>
      </c>
      <c r="D62" t="s">
        <v>15</v>
      </c>
      <c r="F62" s="9" t="s">
        <v>50</v>
      </c>
      <c r="G62" t="s">
        <v>15</v>
      </c>
    </row>
    <row r="63" spans="2:20" x14ac:dyDescent="0.35">
      <c r="B63" s="18" t="s">
        <v>130</v>
      </c>
      <c r="C63" s="9" t="s">
        <v>131</v>
      </c>
      <c r="D63" t="s">
        <v>15</v>
      </c>
      <c r="F63" s="9" t="s">
        <v>134</v>
      </c>
      <c r="G63" t="s">
        <v>15</v>
      </c>
    </row>
    <row r="64" spans="2:20" x14ac:dyDescent="0.35">
      <c r="B64" s="4" t="str">
        <f>B34</f>
        <v>Coal (price is Newcastle Europe)</v>
      </c>
      <c r="C64" s="9" t="s">
        <v>149</v>
      </c>
      <c r="D64" t="s">
        <v>15</v>
      </c>
      <c r="F64" s="9" t="s">
        <v>150</v>
      </c>
      <c r="G64" t="s">
        <v>15</v>
      </c>
    </row>
    <row r="65" spans="2:7" x14ac:dyDescent="0.35">
      <c r="B65" s="4" t="str">
        <f>B35</f>
        <v>Oil (price is WTI US crude)</v>
      </c>
      <c r="C65" s="9" t="s">
        <v>151</v>
      </c>
      <c r="D65" t="s">
        <v>15</v>
      </c>
      <c r="F65" s="9" t="s">
        <v>156</v>
      </c>
      <c r="G65" t="s">
        <v>15</v>
      </c>
    </row>
    <row r="66" spans="2:7" x14ac:dyDescent="0.35">
      <c r="B66" s="4" t="str">
        <f>B36</f>
        <v>Gas (price is UK natural gas)</v>
      </c>
      <c r="C66" s="9" t="s">
        <v>164</v>
      </c>
      <c r="D66" t="s">
        <v>15</v>
      </c>
      <c r="F66" s="9" t="s">
        <v>172</v>
      </c>
      <c r="G66" t="s">
        <v>15</v>
      </c>
    </row>
  </sheetData>
  <hyperlinks>
    <hyperlink ref="C62" r:id="rId1" display="https://worldsteel.org/steel-topics/statistics/world-steel-in-figures-2022/" xr:uid="{0078ACA3-AAC0-4488-A9D9-48855C935261}"/>
    <hyperlink ref="C45" r:id="rId2" display="https://natural-resources.canada.ca/our-natural-resources/minerals-mining/minerals-metals-facts/graphite-facts/24027" xr:uid="{A79C997B-3088-4E1D-A8D7-26C52D1914B6}"/>
    <hyperlink ref="C49" r:id="rId3" display="https://www.statista.com/statistics/606684/world-production-of-lithium/?ssp=1&amp;darkschemeovr=1&amp;setlang=en-XL&amp;safesearch=moderate" xr:uid="{297E9D5B-44BD-437E-84BE-BDAAB61ACDEF}"/>
    <hyperlink ref="C48" r:id="rId4" display="https://www.visualcapitalist.com/visualizing-25-years-of-lithium-production-by-country/" xr:uid="{666B9507-9FA1-4A30-9E8C-2A79B9AD3032}"/>
    <hyperlink ref="C63" r:id="rId5" xr:uid="{37F32956-B455-4854-AC23-32AFE65BCBA5}"/>
    <hyperlink ref="C51" r:id="rId6" xr:uid="{26B190BE-2785-4F83-9401-4ED20559816D}"/>
    <hyperlink ref="C46" r:id="rId7" xr:uid="{C731DA5B-E821-4ADC-BFF0-31A7FCC8E7EA}"/>
    <hyperlink ref="C52" r:id="rId8" location="Concentration_(beneficiation)" xr:uid="{45C6B8F1-CB18-45A0-AC26-235E4DDDF093}"/>
    <hyperlink ref="C53" r:id="rId9" xr:uid="{56A81D79-8E76-4793-B450-F6376D7345A8}"/>
    <hyperlink ref="C57" r:id="rId10" xr:uid="{22BA8B7B-E7C7-4E2A-A69E-2F43EF370B57}"/>
    <hyperlink ref="C59" r:id="rId11" xr:uid="{937C8509-E6A6-4BDE-B54A-9AEDF44A49E5}"/>
    <hyperlink ref="F45" r:id="rId12" xr:uid="{74A11CA8-8D31-4C56-ACF2-B0207D8631B2}"/>
    <hyperlink ref="F46" r:id="rId13" xr:uid="{2947A1D2-FECE-48CE-917B-F60D9F22FA03}"/>
    <hyperlink ref="F48" r:id="rId14" xr:uid="{14FC2353-81D3-4362-B7B6-7246DFA311CC}"/>
    <hyperlink ref="F51" r:id="rId15" xr:uid="{AF86838F-C540-4595-B9F5-C95B4DE9453E}"/>
    <hyperlink ref="F53" r:id="rId16" xr:uid="{D3E4A96D-2F58-4609-B4E6-247F97DA5C8A}"/>
    <hyperlink ref="F57" r:id="rId17" xr:uid="{989BD761-C046-4FE1-926D-0FD631928000}"/>
    <hyperlink ref="F59" r:id="rId18" xr:uid="{252CD2AD-A09D-423A-BD53-21A98C8AA37A}"/>
    <hyperlink ref="F60" r:id="rId19" xr:uid="{A97A5AC5-EA5A-4934-B488-B167B6467A04}"/>
    <hyperlink ref="F62" r:id="rId20" xr:uid="{80D96D73-E942-40D2-B8F9-992AED53270A}"/>
    <hyperlink ref="I47" r:id="rId21" location=":~:text=After%20mining%2C%20nickel%20ores%20are%20further%20processed%20to,minerals%20using%20various%20physical%20and%20chemical%20processing%20methods." xr:uid="{5A867391-C059-4729-8318-762EDFBD20E3}"/>
    <hyperlink ref="C61" r:id="rId22" xr:uid="{6236F2E5-9BC6-4CB7-B37A-8E89CE38BE2D}"/>
    <hyperlink ref="C64" r:id="rId23" xr:uid="{0D8928B2-ECAE-46BB-AC98-9F1FF5AF16AE}"/>
    <hyperlink ref="F64" r:id="rId24" xr:uid="{202884A6-C048-4E08-BC1E-7130D7A126D3}"/>
    <hyperlink ref="C65" r:id="rId25" xr:uid="{E37C0D6B-953B-45F2-B612-8ADA2FDBA233}"/>
    <hyperlink ref="F65" r:id="rId26" xr:uid="{5F80D741-917B-4DBD-B20B-22FBB6490E74}"/>
    <hyperlink ref="R39" r:id="rId27" xr:uid="{F85EC29A-8087-4F56-8434-F89081919769}"/>
    <hyperlink ref="C66" r:id="rId28" xr:uid="{8D851899-FA47-4826-9CF4-AAF404F6F22D}"/>
    <hyperlink ref="R46" r:id="rId29" xr:uid="{5B2B9D1B-00E9-45C1-A460-F6DF7789434A}"/>
    <hyperlink ref="F66" r:id="rId30" xr:uid="{E39FEB1E-03F8-4893-AFEA-6245899990CC}"/>
    <hyperlink ref="T51" r:id="rId31" xr:uid="{8CC28252-02AF-4688-BDEC-CD240F0134C6}"/>
    <hyperlink ref="R56" r:id="rId32" xr:uid="{C04FA2B0-E407-4DBE-86E3-95C8492E8BB8}"/>
    <hyperlink ref="I50" r:id="rId33" xr:uid="{B8ED467C-229B-4101-A8F4-513716DD514B}"/>
    <hyperlink ref="C56" r:id="rId34" xr:uid="{6A3C612C-83D7-4F54-8819-EC4F361B19DD}"/>
    <hyperlink ref="C58" r:id="rId35" xr:uid="{464EE295-1CE1-43FB-A351-15E2C7E791E4}"/>
    <hyperlink ref="C47" r:id="rId36" xr:uid="{F807E1B1-225B-43A8-B563-57817F7A3AEF}"/>
    <hyperlink ref="C50" r:id="rId37" xr:uid="{D9D2A8B0-C90D-48E7-BA58-541E9E2BF10C}"/>
    <hyperlink ref="F63" r:id="rId38" xr:uid="{B333F75B-8E22-4A8C-B560-9E982C1F1C28}"/>
    <hyperlink ref="C60" r:id="rId39" xr:uid="{0EEFA91F-7366-4CB5-89EF-89FA46919055}"/>
    <hyperlink ref="D54" r:id="rId40" xr:uid="{A1BE5B7A-A6A6-4DE1-B746-67134682A717}"/>
    <hyperlink ref="C54" r:id="rId41" xr:uid="{6B0F52CC-E88B-4D6A-B7CE-332E0E286942}"/>
    <hyperlink ref="V36" r:id="rId42" xr:uid="{3A068FE4-E8E9-47B6-A880-B585D404CC70}"/>
    <hyperlink ref="V35" r:id="rId43" xr:uid="{81218B25-9B30-43EB-8A08-0C948D75299F}"/>
    <hyperlink ref="V34" r:id="rId44" xr:uid="{CB17A1B3-0C33-4105-91E5-0526BDFE6674}"/>
  </hyperlinks>
  <pageMargins left="0.7" right="0.7" top="0.75" bottom="0.75" header="0.3" footer="0.3"/>
  <pageSetup orientation="portrait" verticalDpi="0" r:id="rId4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3CEDC-9B17-4B85-8854-0D8CAA24364B}">
  <dimension ref="A1:AS71"/>
  <sheetViews>
    <sheetView tabSelected="1" topLeftCell="Q3" workbookViewId="0">
      <selection activeCell="AJ5" sqref="AJ5"/>
    </sheetView>
  </sheetViews>
  <sheetFormatPr defaultRowHeight="14.5" x14ac:dyDescent="0.35"/>
  <cols>
    <col min="2" max="2" width="23.81640625" customWidth="1"/>
    <col min="3" max="3" width="19.90625" customWidth="1"/>
    <col min="4" max="4" width="9.1796875" customWidth="1"/>
    <col min="5" max="5" width="15.08984375" customWidth="1"/>
    <col min="6" max="6" width="8.1796875" customWidth="1"/>
    <col min="7" max="7" width="8.36328125" customWidth="1"/>
    <col min="8" max="8" width="14.36328125" customWidth="1"/>
    <col min="9" max="10" width="7.90625" customWidth="1"/>
    <col min="11" max="11" width="14.26953125" customWidth="1"/>
    <col min="12" max="13" width="7.90625" customWidth="1"/>
    <col min="14" max="14" width="12.08984375" customWidth="1"/>
    <col min="15" max="16" width="7.90625" customWidth="1"/>
    <col min="17" max="17" width="12.1796875" customWidth="1"/>
    <col min="18" max="19" width="7.90625" customWidth="1"/>
    <col min="20" max="20" width="13.54296875" customWidth="1"/>
    <col min="21" max="22" width="7.90625" customWidth="1"/>
    <col min="23" max="23" width="11.81640625" customWidth="1"/>
    <col min="24" max="24" width="12.08984375" customWidth="1"/>
    <col min="25" max="26" width="9.1796875" customWidth="1"/>
    <col min="27" max="27" width="10.90625" customWidth="1"/>
    <col min="31" max="31" width="24.453125" customWidth="1"/>
    <col min="32" max="32" width="10.54296875" customWidth="1"/>
    <col min="33" max="33" width="7.26953125" customWidth="1"/>
    <col min="34" max="35" width="14.1796875" customWidth="1"/>
    <col min="36" max="36" width="11.6328125" customWidth="1"/>
    <col min="37" max="37" width="14.1796875" customWidth="1"/>
    <col min="38" max="38" width="12.1796875" customWidth="1"/>
    <col min="39" max="39" width="10.453125" customWidth="1"/>
    <col min="41" max="41" width="13" customWidth="1"/>
    <col min="42" max="42" width="12.26953125" customWidth="1"/>
    <col min="43" max="43" width="12.1796875" customWidth="1"/>
    <col min="44" max="44" width="11.08984375" customWidth="1"/>
    <col min="45" max="45" width="25" customWidth="1"/>
  </cols>
  <sheetData>
    <row r="1" spans="1:45" ht="28.5" x14ac:dyDescent="0.65">
      <c r="A1" s="2" t="str">
        <f>RawMaterialsBEV!A1</f>
        <v>Batteries - In debt cost and scalability analysis #22</v>
      </c>
      <c r="AH1" s="4"/>
      <c r="AO1" s="4" t="s">
        <v>883</v>
      </c>
      <c r="AP1" s="106" t="s">
        <v>734</v>
      </c>
    </row>
    <row r="2" spans="1:45" ht="15" customHeight="1" x14ac:dyDescent="0.65">
      <c r="A2" s="2"/>
      <c r="AO2" t="s">
        <v>378</v>
      </c>
      <c r="AP2" t="s">
        <v>378</v>
      </c>
      <c r="AQ2" t="s">
        <v>824</v>
      </c>
      <c r="AR2" t="s">
        <v>824</v>
      </c>
    </row>
    <row r="3" spans="1:45" ht="15.5" x14ac:dyDescent="0.35">
      <c r="A3" s="1" t="str">
        <f>RawMaterialsBEV!A3</f>
        <v>Proprietary. © H. Mathiesen. This material can be used by others free of charge provided that the author H. Mathiesen is attributed and a clickable link is made visible to the location of used material on www.hmexperience.dk</v>
      </c>
      <c r="AE3" s="4"/>
      <c r="AF3" s="4"/>
      <c r="AG3" s="4"/>
      <c r="AI3" s="4"/>
      <c r="AO3" t="s">
        <v>707</v>
      </c>
      <c r="AP3" t="s">
        <v>707</v>
      </c>
      <c r="AQ3" t="s">
        <v>841</v>
      </c>
      <c r="AR3" t="s">
        <v>906</v>
      </c>
    </row>
    <row r="4" spans="1:45" ht="15.5" x14ac:dyDescent="0.35">
      <c r="A4" s="1" t="str">
        <f>RawMaterialsBEV!A4</f>
        <v>Sources to all information used in this spreadsheet can also be found in associated PowerPoint presentation located also at www.hmexperience.dk</v>
      </c>
      <c r="AE4" s="4"/>
      <c r="AF4" s="65"/>
      <c r="AG4" s="65"/>
      <c r="AH4" s="65"/>
      <c r="AI4" s="65"/>
      <c r="AJ4">
        <v>60</v>
      </c>
      <c r="AK4" t="s">
        <v>314</v>
      </c>
      <c r="AL4" t="s">
        <v>727</v>
      </c>
      <c r="AO4" s="65">
        <v>1</v>
      </c>
      <c r="AP4" s="65">
        <v>1</v>
      </c>
      <c r="AQ4" s="65">
        <v>0.4</v>
      </c>
      <c r="AR4" s="65">
        <v>0.15</v>
      </c>
      <c r="AS4" s="105" t="s">
        <v>696</v>
      </c>
    </row>
    <row r="5" spans="1:45" x14ac:dyDescent="0.35">
      <c r="AE5" s="4"/>
      <c r="AF5" s="65"/>
      <c r="AG5" s="65"/>
      <c r="AH5" s="65"/>
      <c r="AI5" s="65"/>
      <c r="AJ5">
        <v>83.15</v>
      </c>
      <c r="AK5" t="s">
        <v>314</v>
      </c>
      <c r="AL5" t="s">
        <v>726</v>
      </c>
      <c r="AO5" s="65">
        <v>1</v>
      </c>
      <c r="AP5" s="65">
        <v>1</v>
      </c>
      <c r="AQ5" s="65">
        <v>1</v>
      </c>
      <c r="AR5" s="65">
        <v>1</v>
      </c>
      <c r="AS5" s="105" t="s">
        <v>693</v>
      </c>
    </row>
    <row r="6" spans="1:45" x14ac:dyDescent="0.35">
      <c r="AE6" s="4"/>
      <c r="AF6" s="65"/>
      <c r="AG6" s="65"/>
      <c r="AH6" s="65"/>
      <c r="AI6" s="65"/>
      <c r="AJ6">
        <f>AJ5/AJ4</f>
        <v>1.3858333333333335</v>
      </c>
      <c r="AO6" s="65">
        <v>1</v>
      </c>
      <c r="AP6" s="65">
        <v>1</v>
      </c>
      <c r="AQ6" s="65">
        <v>2</v>
      </c>
      <c r="AR6" s="65">
        <v>2</v>
      </c>
      <c r="AS6" s="105" t="s">
        <v>303</v>
      </c>
    </row>
    <row r="7" spans="1:45" x14ac:dyDescent="0.35">
      <c r="C7" t="s">
        <v>163</v>
      </c>
      <c r="E7" t="s">
        <v>827</v>
      </c>
      <c r="H7" t="s">
        <v>694</v>
      </c>
      <c r="AE7" s="4"/>
      <c r="AF7" s="65"/>
      <c r="AG7" s="65"/>
      <c r="AH7" s="65"/>
      <c r="AI7" s="65"/>
      <c r="AO7" s="65">
        <v>1</v>
      </c>
      <c r="AP7" s="65">
        <v>1</v>
      </c>
      <c r="AQ7" s="65">
        <v>2</v>
      </c>
      <c r="AR7" s="65">
        <v>2</v>
      </c>
      <c r="AS7" s="105" t="s">
        <v>304</v>
      </c>
    </row>
    <row r="8" spans="1:45" x14ac:dyDescent="0.35">
      <c r="E8">
        <v>5.3</v>
      </c>
      <c r="F8" t="s">
        <v>264</v>
      </c>
      <c r="H8">
        <v>2.2999999999999998</v>
      </c>
      <c r="I8" t="s">
        <v>264</v>
      </c>
      <c r="AE8" s="4"/>
      <c r="AF8" s="65"/>
      <c r="AG8" s="65"/>
      <c r="AH8" s="65"/>
      <c r="AI8" s="65"/>
      <c r="AO8" s="65">
        <v>1</v>
      </c>
      <c r="AP8" s="65">
        <v>1</v>
      </c>
      <c r="AQ8" s="65">
        <v>1</v>
      </c>
      <c r="AR8" s="65">
        <v>0.8</v>
      </c>
      <c r="AS8" s="105" t="s">
        <v>683</v>
      </c>
    </row>
    <row r="9" spans="1:45" x14ac:dyDescent="0.35">
      <c r="E9" t="s">
        <v>86</v>
      </c>
      <c r="H9" t="s">
        <v>86</v>
      </c>
      <c r="AE9" s="4"/>
      <c r="AF9" s="65"/>
      <c r="AG9" s="65"/>
      <c r="AH9" s="65"/>
      <c r="AI9" s="65"/>
      <c r="AJ9" s="87"/>
      <c r="AK9" s="87"/>
      <c r="AL9" s="87"/>
      <c r="AM9" s="87"/>
      <c r="AN9" s="87"/>
      <c r="AO9" s="74">
        <v>1</v>
      </c>
      <c r="AP9" s="74">
        <v>1</v>
      </c>
      <c r="AQ9" s="74">
        <v>1.2</v>
      </c>
      <c r="AR9" s="74">
        <v>0.8</v>
      </c>
      <c r="AS9" s="105" t="s">
        <v>437</v>
      </c>
    </row>
    <row r="10" spans="1:45" x14ac:dyDescent="0.35">
      <c r="E10" s="9" t="s">
        <v>87</v>
      </c>
      <c r="F10" t="s">
        <v>15</v>
      </c>
      <c r="H10" t="s">
        <v>695</v>
      </c>
      <c r="AE10" s="4"/>
      <c r="AF10" s="65"/>
      <c r="AG10" s="65"/>
      <c r="AH10" s="65"/>
      <c r="AI10" s="65"/>
      <c r="AO10" s="65">
        <v>1</v>
      </c>
      <c r="AP10" s="65">
        <v>1</v>
      </c>
      <c r="AQ10" s="65">
        <v>0.5</v>
      </c>
      <c r="AR10" s="65">
        <v>0.33</v>
      </c>
      <c r="AS10" s="105" t="s">
        <v>438</v>
      </c>
    </row>
    <row r="11" spans="1:45" x14ac:dyDescent="0.35">
      <c r="E11" s="9"/>
      <c r="AE11" s="4"/>
      <c r="AF11" s="65"/>
      <c r="AG11" s="65"/>
      <c r="AH11" s="65"/>
      <c r="AI11" s="65"/>
      <c r="AO11" s="65">
        <v>1</v>
      </c>
      <c r="AP11" s="65">
        <v>1</v>
      </c>
      <c r="AQ11" s="65">
        <v>1</v>
      </c>
      <c r="AR11" s="65">
        <v>0.8</v>
      </c>
      <c r="AS11" s="105" t="s">
        <v>703</v>
      </c>
    </row>
    <row r="12" spans="1:45" x14ac:dyDescent="0.35">
      <c r="AE12" s="4"/>
      <c r="AF12" s="65"/>
      <c r="AG12" s="65"/>
      <c r="AH12" s="65"/>
      <c r="AI12" s="65"/>
      <c r="AO12" s="65">
        <v>1</v>
      </c>
      <c r="AP12" s="65">
        <v>1</v>
      </c>
      <c r="AQ12" s="65">
        <v>1</v>
      </c>
      <c r="AR12" s="65">
        <v>0.8</v>
      </c>
      <c r="AS12" s="105" t="s">
        <v>306</v>
      </c>
    </row>
    <row r="13" spans="1:45" x14ac:dyDescent="0.35">
      <c r="E13" t="s">
        <v>443</v>
      </c>
      <c r="H13" t="s">
        <v>443</v>
      </c>
      <c r="AE13" s="4"/>
      <c r="AF13" s="65"/>
      <c r="AG13" s="65"/>
      <c r="AH13" s="65"/>
      <c r="AI13" s="65"/>
      <c r="AJ13" s="87"/>
      <c r="AK13" s="87"/>
      <c r="AL13" s="87"/>
      <c r="AM13" s="87"/>
      <c r="AN13" s="87"/>
      <c r="AO13" s="74">
        <v>1</v>
      </c>
      <c r="AP13" s="74">
        <v>1</v>
      </c>
      <c r="AQ13" s="74">
        <v>1.5</v>
      </c>
      <c r="AR13" s="74">
        <v>1</v>
      </c>
      <c r="AS13" s="105" t="s">
        <v>307</v>
      </c>
    </row>
    <row r="14" spans="1:45" x14ac:dyDescent="0.35">
      <c r="E14" s="243">
        <f>SUM(E24,E26:E36)</f>
        <v>218.18181818181819</v>
      </c>
      <c r="H14" s="243">
        <f>SUM(H24,H26:H36)</f>
        <v>246.91358024691357</v>
      </c>
      <c r="K14" t="s">
        <v>443</v>
      </c>
      <c r="N14" t="s">
        <v>443</v>
      </c>
      <c r="Q14" t="s">
        <v>443</v>
      </c>
      <c r="T14" t="s">
        <v>443</v>
      </c>
      <c r="W14" t="s">
        <v>443</v>
      </c>
      <c r="X14" t="s">
        <v>443</v>
      </c>
      <c r="AA14" t="s">
        <v>443</v>
      </c>
    </row>
    <row r="15" spans="1:45" ht="21.5" thickBot="1" x14ac:dyDescent="0.55000000000000004">
      <c r="B15" s="11" t="s">
        <v>774</v>
      </c>
      <c r="C15" s="130"/>
      <c r="D15" s="130"/>
      <c r="K15" s="243">
        <f>SUM(K24,K26:K36)</f>
        <v>235.29411764705881</v>
      </c>
      <c r="N15" s="243">
        <f>SUM(N24,N26:N36)</f>
        <v>221.40221402214021</v>
      </c>
      <c r="Q15" s="243">
        <f>SUM(Q24,Q26:Q36)</f>
        <v>375</v>
      </c>
      <c r="T15" s="243">
        <f>SUM(T24,T26:T36)</f>
        <v>285.71428571428572</v>
      </c>
      <c r="W15" s="243">
        <f>SUM(W24,W26:W36)</f>
        <v>309.12</v>
      </c>
      <c r="X15" s="243">
        <f>SUM(X24,X26:X36)</f>
        <v>223.04832713754647</v>
      </c>
      <c r="Y15" s="8"/>
      <c r="Z15" s="8"/>
      <c r="AA15" s="243">
        <f>SUM(AA24,AA26:AA36)</f>
        <v>375</v>
      </c>
      <c r="AB15" s="8"/>
      <c r="AE15" s="114" t="s">
        <v>840</v>
      </c>
      <c r="AF15" s="116"/>
      <c r="AG15" s="116"/>
      <c r="AH15" s="116"/>
      <c r="AI15" s="116"/>
      <c r="AJ15" s="116"/>
      <c r="AK15" s="116"/>
      <c r="AL15" s="116"/>
      <c r="AM15" s="116"/>
    </row>
    <row r="16" spans="1:45" ht="15" thickTop="1" x14ac:dyDescent="0.35">
      <c r="B16" t="s">
        <v>289</v>
      </c>
      <c r="K16">
        <v>60</v>
      </c>
      <c r="L16" t="s">
        <v>709</v>
      </c>
      <c r="W16" s="65">
        <f>RawMaterialsBEV!F66</f>
        <v>83.153279999999995</v>
      </c>
      <c r="AE16" s="53" t="s">
        <v>838</v>
      </c>
      <c r="AF16" s="276" t="s">
        <v>157</v>
      </c>
      <c r="AG16" s="276" t="s">
        <v>157</v>
      </c>
      <c r="AH16" s="43" t="s">
        <v>776</v>
      </c>
      <c r="AI16" s="43" t="s">
        <v>777</v>
      </c>
      <c r="AJ16" s="43" t="s">
        <v>778</v>
      </c>
      <c r="AK16" s="43" t="s">
        <v>779</v>
      </c>
      <c r="AL16" s="43" t="s">
        <v>780</v>
      </c>
      <c r="AM16" s="44" t="s">
        <v>787</v>
      </c>
    </row>
    <row r="17" spans="2:45" x14ac:dyDescent="0.35">
      <c r="B17" t="s">
        <v>280</v>
      </c>
      <c r="AE17" s="54" t="s">
        <v>837</v>
      </c>
      <c r="AF17" s="277" t="s">
        <v>158</v>
      </c>
      <c r="AG17" s="277" t="s">
        <v>728</v>
      </c>
      <c r="AH17" s="131" t="s">
        <v>279</v>
      </c>
      <c r="AI17" s="131" t="s">
        <v>283</v>
      </c>
      <c r="AJ17" s="131" t="s">
        <v>275</v>
      </c>
      <c r="AK17" s="131" t="s">
        <v>684</v>
      </c>
      <c r="AL17" s="131" t="s">
        <v>704</v>
      </c>
      <c r="AM17" s="196" t="s">
        <v>425</v>
      </c>
      <c r="AO17" s="65">
        <v>1</v>
      </c>
      <c r="AP17" s="65">
        <v>1</v>
      </c>
      <c r="AQ17" s="65">
        <v>0.7</v>
      </c>
      <c r="AR17" s="65">
        <v>0.5</v>
      </c>
      <c r="AS17" s="195" t="s">
        <v>781</v>
      </c>
    </row>
    <row r="18" spans="2:45" x14ac:dyDescent="0.35">
      <c r="B18" s="76" t="s">
        <v>291</v>
      </c>
      <c r="C18" s="76" t="s">
        <v>294</v>
      </c>
      <c r="D18" s="76" t="s">
        <v>157</v>
      </c>
      <c r="E18" s="131" t="s">
        <v>270</v>
      </c>
      <c r="F18" s="134" t="s">
        <v>299</v>
      </c>
      <c r="G18" s="67" t="s">
        <v>700</v>
      </c>
      <c r="H18" s="131" t="s">
        <v>271</v>
      </c>
      <c r="I18" s="134" t="s">
        <v>299</v>
      </c>
      <c r="J18" s="67" t="s">
        <v>700</v>
      </c>
      <c r="K18" s="131" t="s">
        <v>272</v>
      </c>
      <c r="L18" s="134" t="s">
        <v>299</v>
      </c>
      <c r="M18" s="67" t="s">
        <v>700</v>
      </c>
      <c r="N18" s="131" t="s">
        <v>288</v>
      </c>
      <c r="O18" s="134" t="s">
        <v>299</v>
      </c>
      <c r="P18" s="67" t="s">
        <v>700</v>
      </c>
      <c r="Q18" s="131" t="s">
        <v>273</v>
      </c>
      <c r="R18" s="134" t="s">
        <v>299</v>
      </c>
      <c r="S18" s="67" t="s">
        <v>700</v>
      </c>
      <c r="T18" s="131" t="s">
        <v>681</v>
      </c>
      <c r="U18" s="134" t="s">
        <v>299</v>
      </c>
      <c r="V18" s="67" t="s">
        <v>700</v>
      </c>
      <c r="W18" s="131" t="s">
        <v>309</v>
      </c>
      <c r="X18" s="131" t="str">
        <f>W18</f>
        <v>Tesla battery</v>
      </c>
      <c r="Y18" s="134" t="s">
        <v>299</v>
      </c>
      <c r="Z18" s="67" t="s">
        <v>700</v>
      </c>
      <c r="AA18" s="131" t="s">
        <v>426</v>
      </c>
      <c r="AB18" s="134" t="s">
        <v>299</v>
      </c>
      <c r="AC18" s="67" t="s">
        <v>700</v>
      </c>
      <c r="AE18" s="313">
        <f>AJ5</f>
        <v>83.15</v>
      </c>
      <c r="AF18" s="278" t="str">
        <f>AO2</f>
        <v>Current</v>
      </c>
      <c r="AG18" s="277" t="s">
        <v>729</v>
      </c>
      <c r="AH18" s="131" t="s">
        <v>281</v>
      </c>
      <c r="AI18" s="131" t="s">
        <v>284</v>
      </c>
      <c r="AJ18" s="131" t="s">
        <v>276</v>
      </c>
      <c r="AK18" s="131" t="s">
        <v>690</v>
      </c>
      <c r="AL18" s="131" t="s">
        <v>705</v>
      </c>
      <c r="AM18" s="196" t="s">
        <v>733</v>
      </c>
      <c r="AO18" s="65">
        <v>1</v>
      </c>
      <c r="AP18" s="65">
        <v>1</v>
      </c>
      <c r="AQ18" s="65">
        <v>0.7</v>
      </c>
      <c r="AR18" s="65">
        <v>0.5</v>
      </c>
      <c r="AS18" s="195" t="s">
        <v>825</v>
      </c>
    </row>
    <row r="19" spans="2:45" x14ac:dyDescent="0.35">
      <c r="B19" s="76" t="s">
        <v>290</v>
      </c>
      <c r="C19" s="76" t="s">
        <v>295</v>
      </c>
      <c r="D19" s="76" t="s">
        <v>158</v>
      </c>
      <c r="E19" s="131" t="s">
        <v>279</v>
      </c>
      <c r="F19" s="134" t="s">
        <v>300</v>
      </c>
      <c r="G19" s="67" t="s">
        <v>701</v>
      </c>
      <c r="H19" s="131" t="s">
        <v>283</v>
      </c>
      <c r="I19" s="134" t="s">
        <v>300</v>
      </c>
      <c r="J19" s="67" t="s">
        <v>701</v>
      </c>
      <c r="K19" s="131" t="s">
        <v>286</v>
      </c>
      <c r="L19" s="134" t="s">
        <v>300</v>
      </c>
      <c r="M19" s="67" t="s">
        <v>701</v>
      </c>
      <c r="N19" s="131" t="s">
        <v>274</v>
      </c>
      <c r="O19" s="134" t="s">
        <v>300</v>
      </c>
      <c r="P19" s="67" t="s">
        <v>701</v>
      </c>
      <c r="Q19" s="131" t="s">
        <v>275</v>
      </c>
      <c r="R19" s="134" t="s">
        <v>300</v>
      </c>
      <c r="S19" s="67" t="s">
        <v>701</v>
      </c>
      <c r="T19" s="131" t="s">
        <v>684</v>
      </c>
      <c r="U19" s="134" t="s">
        <v>300</v>
      </c>
      <c r="V19" s="67" t="s">
        <v>701</v>
      </c>
      <c r="W19" s="131" t="s">
        <v>704</v>
      </c>
      <c r="X19" s="131" t="str">
        <f t="shared" ref="X19:X21" si="0">W19</f>
        <v>NCA variant</v>
      </c>
      <c r="Y19" s="134" t="s">
        <v>300</v>
      </c>
      <c r="Z19" s="67" t="s">
        <v>701</v>
      </c>
      <c r="AA19" s="131" t="s">
        <v>425</v>
      </c>
      <c r="AB19" s="134" t="s">
        <v>300</v>
      </c>
      <c r="AC19" s="67" t="s">
        <v>701</v>
      </c>
      <c r="AE19" s="54" t="s">
        <v>839</v>
      </c>
      <c r="AF19" s="278" t="str">
        <f>AO3</f>
        <v>prices 2023</v>
      </c>
      <c r="AG19" s="277" t="s">
        <v>730</v>
      </c>
      <c r="AH19" s="131" t="s">
        <v>282</v>
      </c>
      <c r="AI19" s="131" t="s">
        <v>285</v>
      </c>
      <c r="AJ19" s="131" t="s">
        <v>454</v>
      </c>
      <c r="AK19" s="131" t="s">
        <v>682</v>
      </c>
      <c r="AL19" s="131" t="s">
        <v>706</v>
      </c>
      <c r="AM19" s="196"/>
    </row>
    <row r="20" spans="2:45" x14ac:dyDescent="0.35">
      <c r="B20" s="76"/>
      <c r="C20" s="76" t="s">
        <v>296</v>
      </c>
      <c r="D20" s="76"/>
      <c r="E20" s="131" t="s">
        <v>281</v>
      </c>
      <c r="F20" s="134" t="s">
        <v>301</v>
      </c>
      <c r="G20" s="67" t="s">
        <v>697</v>
      </c>
      <c r="H20" s="131" t="s">
        <v>284</v>
      </c>
      <c r="I20" s="134" t="s">
        <v>301</v>
      </c>
      <c r="J20" s="67" t="s">
        <v>697</v>
      </c>
      <c r="K20" s="131" t="s">
        <v>284</v>
      </c>
      <c r="L20" s="134" t="s">
        <v>301</v>
      </c>
      <c r="M20" s="67" t="s">
        <v>697</v>
      </c>
      <c r="N20" s="131" t="s">
        <v>428</v>
      </c>
      <c r="O20" s="134" t="s">
        <v>301</v>
      </c>
      <c r="P20" s="67" t="s">
        <v>697</v>
      </c>
      <c r="Q20" s="131" t="s">
        <v>276</v>
      </c>
      <c r="R20" s="134" t="s">
        <v>301</v>
      </c>
      <c r="S20" s="67" t="s">
        <v>697</v>
      </c>
      <c r="T20" s="131" t="s">
        <v>690</v>
      </c>
      <c r="U20" s="134" t="s">
        <v>301</v>
      </c>
      <c r="V20" s="67" t="s">
        <v>697</v>
      </c>
      <c r="W20" s="131" t="s">
        <v>705</v>
      </c>
      <c r="X20" s="131" t="str">
        <f t="shared" si="0"/>
        <v>nickel, cobalt</v>
      </c>
      <c r="Y20" s="134" t="s">
        <v>301</v>
      </c>
      <c r="Z20" s="67" t="s">
        <v>697</v>
      </c>
      <c r="AA20" s="131" t="s">
        <v>733</v>
      </c>
      <c r="AB20" s="134" t="s">
        <v>301</v>
      </c>
      <c r="AC20" s="67" t="s">
        <v>697</v>
      </c>
      <c r="AE20" s="155" t="s">
        <v>696</v>
      </c>
      <c r="AF20" s="279">
        <f>D24*AG20</f>
        <v>32.333210000000001</v>
      </c>
      <c r="AG20" s="280">
        <f>AO4</f>
        <v>1</v>
      </c>
      <c r="AH20" s="281">
        <f>AJ6*$AF20*E24</f>
        <v>1187.4236650791668</v>
      </c>
      <c r="AI20" s="281">
        <f>AJ6*$AF20*H24</f>
        <v>1662.3931311108336</v>
      </c>
      <c r="AJ20" s="281">
        <f>AJ6*$AF20*Q24</f>
        <v>1424.9083980949999</v>
      </c>
      <c r="AK20" s="281">
        <f>AJ6*$AF20*T24</f>
        <v>1085.6444937866665</v>
      </c>
      <c r="AL20" s="281">
        <f>AJ6*$AF20*X24</f>
        <v>1430.205455336989</v>
      </c>
      <c r="AM20" s="282">
        <f>AJ6*$AF20*AA24</f>
        <v>0</v>
      </c>
    </row>
    <row r="21" spans="2:45" x14ac:dyDescent="0.35">
      <c r="B21" s="76"/>
      <c r="C21" s="76"/>
      <c r="D21" s="76"/>
      <c r="E21" s="131" t="s">
        <v>282</v>
      </c>
      <c r="F21" s="134"/>
      <c r="G21" s="67" t="s">
        <v>90</v>
      </c>
      <c r="H21" s="131" t="s">
        <v>285</v>
      </c>
      <c r="I21" s="134"/>
      <c r="J21" s="67" t="s">
        <v>90</v>
      </c>
      <c r="K21" s="131" t="s">
        <v>287</v>
      </c>
      <c r="L21" s="134"/>
      <c r="M21" s="67" t="s">
        <v>90</v>
      </c>
      <c r="N21" s="131" t="s">
        <v>277</v>
      </c>
      <c r="O21" s="134"/>
      <c r="P21" s="67" t="s">
        <v>90</v>
      </c>
      <c r="Q21" s="131" t="s">
        <v>454</v>
      </c>
      <c r="R21" s="134"/>
      <c r="S21" s="67" t="s">
        <v>90</v>
      </c>
      <c r="T21" s="131" t="s">
        <v>682</v>
      </c>
      <c r="U21" s="134"/>
      <c r="V21" s="67" t="s">
        <v>90</v>
      </c>
      <c r="W21" s="131" t="s">
        <v>706</v>
      </c>
      <c r="X21" s="131" t="str">
        <f t="shared" si="0"/>
        <v>aluminium</v>
      </c>
      <c r="Y21" s="134"/>
      <c r="Z21" s="67" t="s">
        <v>90</v>
      </c>
      <c r="AA21" s="131"/>
      <c r="AB21" s="134"/>
      <c r="AC21" s="67" t="s">
        <v>90</v>
      </c>
      <c r="AE21" s="155" t="s">
        <v>693</v>
      </c>
      <c r="AF21" s="275">
        <f t="shared" ref="AF21:AF30" si="1">D26*AG21</f>
        <v>0.35673124</v>
      </c>
      <c r="AG21" s="280">
        <f t="shared" ref="AG21:AG29" si="2">AO5</f>
        <v>1</v>
      </c>
      <c r="AH21" s="281">
        <f>AJ6*$AF21*E26</f>
        <v>0</v>
      </c>
      <c r="AI21" s="281">
        <f>AJ6*$AF21*H26</f>
        <v>0</v>
      </c>
      <c r="AJ21" s="281">
        <f>AJ6*$AF21*Q26</f>
        <v>0</v>
      </c>
      <c r="AK21" s="281">
        <f>AJ6*$AF21*T26</f>
        <v>0</v>
      </c>
      <c r="AL21" s="281">
        <f>AJ6*$AF21*X26</f>
        <v>0</v>
      </c>
      <c r="AM21" s="282">
        <f>AJ6*$AF21*AA26</f>
        <v>11.51264238645375</v>
      </c>
    </row>
    <row r="22" spans="2:45" x14ac:dyDescent="0.35">
      <c r="B22" s="4"/>
      <c r="C22" s="4"/>
      <c r="D22" s="4"/>
      <c r="E22" s="131" t="s">
        <v>689</v>
      </c>
      <c r="F22" s="237"/>
      <c r="G22" s="87"/>
      <c r="H22" s="131" t="s">
        <v>689</v>
      </c>
      <c r="I22" s="237"/>
      <c r="J22" s="87"/>
      <c r="K22" s="131" t="s">
        <v>689</v>
      </c>
      <c r="L22" s="237"/>
      <c r="M22" s="87"/>
      <c r="N22" s="131" t="s">
        <v>689</v>
      </c>
      <c r="O22" s="237"/>
      <c r="P22" s="87"/>
      <c r="Q22" s="131" t="s">
        <v>689</v>
      </c>
      <c r="R22" s="237"/>
      <c r="S22" s="87"/>
      <c r="T22" s="131" t="s">
        <v>689</v>
      </c>
      <c r="U22" s="237"/>
      <c r="V22" s="87"/>
      <c r="W22" s="131" t="s">
        <v>691</v>
      </c>
      <c r="X22" s="131" t="s">
        <v>689</v>
      </c>
      <c r="Y22" s="237"/>
      <c r="Z22" s="67" t="s">
        <v>725</v>
      </c>
      <c r="AA22" s="131" t="s">
        <v>689</v>
      </c>
      <c r="AB22" s="237"/>
      <c r="AC22" s="87"/>
      <c r="AE22" s="155" t="s">
        <v>303</v>
      </c>
      <c r="AF22" s="275">
        <f t="shared" si="1"/>
        <v>34.93</v>
      </c>
      <c r="AG22" s="280">
        <f t="shared" si="2"/>
        <v>1</v>
      </c>
      <c r="AH22" s="281">
        <f>AJ6*$AF22*E27</f>
        <v>242.03579166666668</v>
      </c>
      <c r="AI22" s="281">
        <f>AJ6*$AF22*H27</f>
        <v>532.47874166666668</v>
      </c>
      <c r="AJ22" s="281">
        <f>AJ6*$AF22*Q27</f>
        <v>0</v>
      </c>
      <c r="AK22" s="281">
        <f>AJ6*$AF22*T27</f>
        <v>0</v>
      </c>
      <c r="AL22" s="281">
        <f>AJ6*$AF22*X27</f>
        <v>215.94271375464686</v>
      </c>
      <c r="AM22" s="282">
        <f>AJ6*$AF22*AA27</f>
        <v>0</v>
      </c>
    </row>
    <row r="23" spans="2:45" x14ac:dyDescent="0.35">
      <c r="B23" s="105" t="s">
        <v>436</v>
      </c>
      <c r="C23" t="s">
        <v>297</v>
      </c>
      <c r="D23" s="177" t="s">
        <v>576</v>
      </c>
      <c r="E23" s="241">
        <v>5</v>
      </c>
      <c r="F23" s="239">
        <f>E23/E$37</f>
        <v>2.2916666666666665E-2</v>
      </c>
      <c r="G23" s="232" t="s">
        <v>576</v>
      </c>
      <c r="H23" s="244">
        <v>7</v>
      </c>
      <c r="I23" s="239">
        <f>H23/H$37</f>
        <v>2.835E-2</v>
      </c>
      <c r="J23" s="232" t="s">
        <v>576</v>
      </c>
      <c r="K23" s="241">
        <v>6</v>
      </c>
      <c r="L23" s="239">
        <f>K23/K$37</f>
        <v>2.5500000000000002E-2</v>
      </c>
      <c r="M23" s="232" t="s">
        <v>576</v>
      </c>
      <c r="N23" s="241">
        <v>6</v>
      </c>
      <c r="O23" s="239">
        <f>N23/N$37</f>
        <v>2.7100000000000003E-2</v>
      </c>
      <c r="P23" s="232" t="s">
        <v>576</v>
      </c>
      <c r="Q23" s="241">
        <v>6</v>
      </c>
      <c r="R23" s="239">
        <f>Q23/Q$37</f>
        <v>1.6E-2</v>
      </c>
      <c r="S23" s="232" t="s">
        <v>576</v>
      </c>
      <c r="T23" s="241">
        <f>U23*T$37</f>
        <v>4.5714285714285721</v>
      </c>
      <c r="U23" s="239">
        <f>R23</f>
        <v>1.6E-2</v>
      </c>
      <c r="V23" s="232" t="s">
        <v>576</v>
      </c>
      <c r="W23" s="241">
        <f>Y23*W$37</f>
        <v>8.3462399999999999</v>
      </c>
      <c r="X23" s="241">
        <f>W23*(K$16/W$16)</f>
        <v>6.0223048327137549</v>
      </c>
      <c r="Y23" s="239">
        <v>2.7E-2</v>
      </c>
      <c r="Z23" s="232" t="s">
        <v>576</v>
      </c>
      <c r="AA23" s="241">
        <v>0</v>
      </c>
      <c r="AB23" s="239">
        <f>AA23/AA$37</f>
        <v>0</v>
      </c>
      <c r="AC23" s="232" t="s">
        <v>576</v>
      </c>
      <c r="AE23" s="155" t="s">
        <v>304</v>
      </c>
      <c r="AF23" s="275">
        <f t="shared" si="1"/>
        <v>24.446999999999999</v>
      </c>
      <c r="AG23" s="280">
        <f t="shared" si="2"/>
        <v>1</v>
      </c>
      <c r="AH23" s="281">
        <f>AJ6*$AF23*E28</f>
        <v>1321.2992325000002</v>
      </c>
      <c r="AI23" s="281">
        <f>AJ6*$AF23*H28</f>
        <v>948.62509000000011</v>
      </c>
      <c r="AJ23" s="281">
        <f>AJ6*$AF23*Q28</f>
        <v>0</v>
      </c>
      <c r="AK23" s="281">
        <f>AJ6*$AF23*T28</f>
        <v>0</v>
      </c>
      <c r="AL23" s="281">
        <f>AJ6*$AF23*X28</f>
        <v>1511.3517100371751</v>
      </c>
      <c r="AM23" s="282">
        <f>AJ6*$AF23*AA28</f>
        <v>0</v>
      </c>
    </row>
    <row r="24" spans="2:45" x14ac:dyDescent="0.35">
      <c r="B24" s="105" t="s">
        <v>696</v>
      </c>
      <c r="C24" s="236" t="s">
        <v>297</v>
      </c>
      <c r="D24" s="240">
        <f>CostOfRawMaterialsBEV!D13</f>
        <v>32.333210000000001</v>
      </c>
      <c r="E24" s="241">
        <f>E23*$E8</f>
        <v>26.5</v>
      </c>
      <c r="F24" s="239">
        <f>E24/E$37</f>
        <v>0.12145833333333333</v>
      </c>
      <c r="G24" s="232">
        <f>$D24*E24</f>
        <v>856.83006499999999</v>
      </c>
      <c r="H24" s="244">
        <f>H23*$E8</f>
        <v>37.1</v>
      </c>
      <c r="I24" s="239">
        <f t="shared" ref="I24:I27" si="3">H24/H$37</f>
        <v>0.150255</v>
      </c>
      <c r="J24" s="232">
        <f>$D24*H24</f>
        <v>1199.562091</v>
      </c>
      <c r="K24" s="241">
        <f>K23*$E8</f>
        <v>31.799999999999997</v>
      </c>
      <c r="L24" s="239">
        <f t="shared" ref="L24:L36" si="4">K24/K$37</f>
        <v>0.13514999999999999</v>
      </c>
      <c r="M24" s="232">
        <f>$D24*K24</f>
        <v>1028.1960779999999</v>
      </c>
      <c r="N24" s="241">
        <f>N23*$E8</f>
        <v>31.799999999999997</v>
      </c>
      <c r="O24" s="239">
        <f t="shared" ref="O24:O36" si="5">N24/N$37</f>
        <v>0.14362999999999998</v>
      </c>
      <c r="P24" s="232">
        <f>$D24*N24</f>
        <v>1028.1960779999999</v>
      </c>
      <c r="Q24" s="241">
        <f>Q23*$E8</f>
        <v>31.799999999999997</v>
      </c>
      <c r="R24" s="239">
        <f t="shared" ref="R24:R35" si="6">Q24/Q$37</f>
        <v>8.4799999999999986E-2</v>
      </c>
      <c r="S24" s="232">
        <f>$D24*Q24</f>
        <v>1028.1960779999999</v>
      </c>
      <c r="T24" s="241">
        <f>U24*T$37</f>
        <v>24.228571428571424</v>
      </c>
      <c r="U24" s="239">
        <f>R24</f>
        <v>8.4799999999999986E-2</v>
      </c>
      <c r="V24" s="232">
        <f>$D24*T24</f>
        <v>783.38748799999985</v>
      </c>
      <c r="W24" s="241">
        <f>W23*$E8</f>
        <v>44.235071999999995</v>
      </c>
      <c r="X24" s="241">
        <f>X23*$E8</f>
        <v>31.918215613382902</v>
      </c>
      <c r="Y24" s="239">
        <f>X24/X$37</f>
        <v>0.1431</v>
      </c>
      <c r="Z24" s="232">
        <f>$D24*X24</f>
        <v>1032.0183682527882</v>
      </c>
      <c r="AA24" s="241">
        <v>0</v>
      </c>
      <c r="AB24" s="239">
        <f>AA24/AA$37</f>
        <v>0</v>
      </c>
      <c r="AC24" s="232">
        <f>$D24*AA24</f>
        <v>0</v>
      </c>
      <c r="AE24" s="155" t="s">
        <v>683</v>
      </c>
      <c r="AF24" s="275">
        <f t="shared" si="1"/>
        <v>4.6190299999999995</v>
      </c>
      <c r="AG24" s="280">
        <f t="shared" si="2"/>
        <v>1</v>
      </c>
      <c r="AH24" s="281">
        <f>AJ6*$AF24*E29</f>
        <v>32.006028708333332</v>
      </c>
      <c r="AI24" s="281">
        <f>AJ6*$AF24*H29</f>
        <v>102.41929186666667</v>
      </c>
      <c r="AJ24" s="281">
        <f>AJ6*$AF24*Q29</f>
        <v>0</v>
      </c>
      <c r="AK24" s="281">
        <f>AJ6*$AF24*T29</f>
        <v>99.980737298412706</v>
      </c>
      <c r="AL24" s="281">
        <f>AJ6*$AF24*X29</f>
        <v>0</v>
      </c>
      <c r="AM24" s="282">
        <f>AJ6*$AF24*AA29</f>
        <v>120.02260765625</v>
      </c>
    </row>
    <row r="25" spans="2:45" x14ac:dyDescent="0.35">
      <c r="B25" s="105" t="s">
        <v>427</v>
      </c>
      <c r="C25" t="s">
        <v>297</v>
      </c>
      <c r="D25" s="177" t="s">
        <v>576</v>
      </c>
      <c r="E25" s="241">
        <v>0</v>
      </c>
      <c r="F25" s="239">
        <f t="shared" ref="F25:F26" si="7">E25/E$37</f>
        <v>0</v>
      </c>
      <c r="G25" s="232" t="s">
        <v>576</v>
      </c>
      <c r="H25" s="244">
        <v>0</v>
      </c>
      <c r="I25" s="239">
        <f t="shared" si="3"/>
        <v>0</v>
      </c>
      <c r="J25" s="232" t="s">
        <v>576</v>
      </c>
      <c r="K25" s="241">
        <v>0</v>
      </c>
      <c r="L25" s="239">
        <f t="shared" si="4"/>
        <v>0</v>
      </c>
      <c r="M25" s="232" t="s">
        <v>576</v>
      </c>
      <c r="N25" s="241">
        <v>0</v>
      </c>
      <c r="O25" s="239">
        <f t="shared" si="5"/>
        <v>0</v>
      </c>
      <c r="P25" s="232" t="s">
        <v>576</v>
      </c>
      <c r="Q25" s="241">
        <v>0</v>
      </c>
      <c r="R25" s="239">
        <f t="shared" si="6"/>
        <v>0</v>
      </c>
      <c r="S25" s="232" t="s">
        <v>576</v>
      </c>
      <c r="T25" s="241">
        <f t="shared" ref="T25:T35" si="8">U25*T$37</f>
        <v>0</v>
      </c>
      <c r="U25" s="239">
        <f t="shared" ref="U25:U35" si="9">R25</f>
        <v>0</v>
      </c>
      <c r="V25" s="232" t="s">
        <v>576</v>
      </c>
      <c r="W25" s="241">
        <v>0</v>
      </c>
      <c r="X25" s="241">
        <v>0</v>
      </c>
      <c r="Y25" s="239">
        <f>X25/X$37</f>
        <v>0</v>
      </c>
      <c r="Z25" s="232" t="s">
        <v>576</v>
      </c>
      <c r="AA25" s="241">
        <f>AB25*AA$37</f>
        <v>10.125</v>
      </c>
      <c r="AB25" s="239">
        <f>Y23</f>
        <v>2.7E-2</v>
      </c>
      <c r="AC25" s="232" t="s">
        <v>576</v>
      </c>
      <c r="AE25" s="155" t="s">
        <v>819</v>
      </c>
      <c r="AF25" s="275">
        <f t="shared" si="1"/>
        <v>9.5</v>
      </c>
      <c r="AG25" s="280">
        <f t="shared" si="2"/>
        <v>1</v>
      </c>
      <c r="AH25" s="281">
        <f>AJ6*$AF25*E30</f>
        <v>592.44375000000002</v>
      </c>
      <c r="AI25" s="281">
        <f>AJ6*$AF25*H30</f>
        <v>697.7670833333334</v>
      </c>
      <c r="AJ25" s="281">
        <f>AJ6*$AF25*Q30</f>
        <v>868.91750000000002</v>
      </c>
      <c r="AK25" s="281">
        <f>AJ6*$AF25*T30</f>
        <v>662.032380952381</v>
      </c>
      <c r="AL25" s="281">
        <f>AJ6*$AF25*X30</f>
        <v>583.585235439901</v>
      </c>
      <c r="AM25" s="282">
        <f>AJ6*$AF25*AA30</f>
        <v>0</v>
      </c>
      <c r="AO25" s="9" t="s">
        <v>878</v>
      </c>
      <c r="AP25" t="s">
        <v>877</v>
      </c>
    </row>
    <row r="26" spans="2:45" x14ac:dyDescent="0.35">
      <c r="B26" s="105" t="s">
        <v>693</v>
      </c>
      <c r="C26" t="s">
        <v>297</v>
      </c>
      <c r="D26" s="183">
        <f>CostOfRawMaterialsBEV!D15</f>
        <v>0.35673124</v>
      </c>
      <c r="E26" s="241">
        <v>0</v>
      </c>
      <c r="F26" s="239">
        <f t="shared" si="7"/>
        <v>0</v>
      </c>
      <c r="G26" s="232">
        <f t="shared" ref="G26:G35" si="10">$D26*E26</f>
        <v>0</v>
      </c>
      <c r="H26" s="244">
        <v>0</v>
      </c>
      <c r="I26" s="239">
        <f t="shared" si="3"/>
        <v>0</v>
      </c>
      <c r="J26" s="232">
        <f>$D26*H26</f>
        <v>0</v>
      </c>
      <c r="K26" s="241">
        <v>0</v>
      </c>
      <c r="L26" s="239">
        <f t="shared" si="4"/>
        <v>0</v>
      </c>
      <c r="M26" s="232">
        <f>$D26*K26</f>
        <v>0</v>
      </c>
      <c r="N26" s="241">
        <v>0</v>
      </c>
      <c r="O26" s="239">
        <f t="shared" si="5"/>
        <v>0</v>
      </c>
      <c r="P26" s="232">
        <f>$D26*N26</f>
        <v>0</v>
      </c>
      <c r="Q26" s="241">
        <v>0</v>
      </c>
      <c r="R26" s="239">
        <f t="shared" si="6"/>
        <v>0</v>
      </c>
      <c r="S26" s="232">
        <f t="shared" ref="S26:S35" si="11">$D26*Q26</f>
        <v>0</v>
      </c>
      <c r="T26" s="241">
        <f t="shared" si="8"/>
        <v>0</v>
      </c>
      <c r="U26" s="239">
        <f t="shared" si="9"/>
        <v>0</v>
      </c>
      <c r="V26" s="232">
        <f t="shared" ref="V26:V35" si="12">$D26*T26</f>
        <v>0</v>
      </c>
      <c r="W26" s="241">
        <v>0</v>
      </c>
      <c r="X26" s="241">
        <v>0</v>
      </c>
      <c r="Y26" s="239">
        <f>X26/X$37</f>
        <v>0</v>
      </c>
      <c r="Z26" s="232">
        <f t="shared" ref="Z26" si="13">$D26*X26</f>
        <v>0</v>
      </c>
      <c r="AA26" s="241">
        <f>AA25*H8</f>
        <v>23.287499999999998</v>
      </c>
      <c r="AB26" s="239">
        <f>AA26/AA$37</f>
        <v>6.2099999999999995E-2</v>
      </c>
      <c r="AC26" s="232">
        <f>$D26*AA26</f>
        <v>8.3073787514999999</v>
      </c>
      <c r="AE26" s="155" t="s">
        <v>820</v>
      </c>
      <c r="AF26" s="275">
        <f t="shared" si="1"/>
        <v>30</v>
      </c>
      <c r="AG26" s="280">
        <f t="shared" si="2"/>
        <v>1</v>
      </c>
      <c r="AH26" s="281">
        <f>AJ6*$AF26*E31</f>
        <v>0</v>
      </c>
      <c r="AI26" s="281">
        <f>AJ6*$AF26*H31</f>
        <v>0</v>
      </c>
      <c r="AJ26" s="281">
        <f>AJ6*$AF26*Q31</f>
        <v>0</v>
      </c>
      <c r="AK26" s="281">
        <f>AJ6*$AF26*T31</f>
        <v>0</v>
      </c>
      <c r="AL26" s="281">
        <f>AJ6*$AF26*X31</f>
        <v>0</v>
      </c>
      <c r="AM26" s="282">
        <f>AJ6*$AF26*AA31</f>
        <v>3118.125</v>
      </c>
      <c r="AO26" s="9" t="s">
        <v>880</v>
      </c>
      <c r="AP26" t="s">
        <v>879</v>
      </c>
    </row>
    <row r="27" spans="2:45" x14ac:dyDescent="0.35">
      <c r="B27" s="105" t="s">
        <v>303</v>
      </c>
      <c r="C27" t="s">
        <v>297</v>
      </c>
      <c r="D27" s="183">
        <f>CostOfRawMaterialsBEV!D20</f>
        <v>34.93</v>
      </c>
      <c r="E27" s="241">
        <v>5</v>
      </c>
      <c r="F27" s="239">
        <f>E27/E$37</f>
        <v>2.2916666666666665E-2</v>
      </c>
      <c r="G27" s="232">
        <f t="shared" si="10"/>
        <v>174.65</v>
      </c>
      <c r="H27" s="244">
        <v>11</v>
      </c>
      <c r="I27" s="239">
        <f t="shared" si="3"/>
        <v>4.4549999999999999E-2</v>
      </c>
      <c r="J27" s="232">
        <f>$D27*H27</f>
        <v>384.23</v>
      </c>
      <c r="K27" s="241">
        <v>11</v>
      </c>
      <c r="L27" s="239">
        <f t="shared" si="4"/>
        <v>4.675E-2</v>
      </c>
      <c r="M27" s="232">
        <f>$D27*K27</f>
        <v>384.23</v>
      </c>
      <c r="N27" s="241">
        <v>2</v>
      </c>
      <c r="O27" s="239">
        <f t="shared" si="5"/>
        <v>9.0333333333333342E-3</v>
      </c>
      <c r="P27" s="232">
        <f>$D27*N27</f>
        <v>69.86</v>
      </c>
      <c r="Q27" s="241">
        <v>0</v>
      </c>
      <c r="R27" s="239">
        <f t="shared" si="6"/>
        <v>0</v>
      </c>
      <c r="S27" s="232">
        <f t="shared" si="11"/>
        <v>0</v>
      </c>
      <c r="T27" s="241">
        <f t="shared" si="8"/>
        <v>0</v>
      </c>
      <c r="U27" s="239">
        <f t="shared" si="9"/>
        <v>0</v>
      </c>
      <c r="V27" s="232">
        <f t="shared" si="12"/>
        <v>0</v>
      </c>
      <c r="W27" s="241">
        <f>Y27*W$37</f>
        <v>6.1824000000000003</v>
      </c>
      <c r="X27" s="241">
        <f t="shared" ref="X27:X34" si="14">W27*(K$16/W$16)</f>
        <v>4.4609665427509295</v>
      </c>
      <c r="Y27" s="239">
        <v>0.02</v>
      </c>
      <c r="Z27" s="232">
        <f>$D27*X27</f>
        <v>155.82156133828997</v>
      </c>
      <c r="AA27" s="241">
        <f t="shared" ref="AA27:AA35" si="15">AB27*AA$37</f>
        <v>0</v>
      </c>
      <c r="AB27" s="239">
        <v>0</v>
      </c>
      <c r="AC27" s="232">
        <f t="shared" ref="AC27:AC35" si="16">$D27*AA27</f>
        <v>0</v>
      </c>
      <c r="AE27" s="155" t="s">
        <v>305</v>
      </c>
      <c r="AF27" s="275">
        <f t="shared" si="1"/>
        <v>0.52258994800000003</v>
      </c>
      <c r="AG27" s="280">
        <f t="shared" si="2"/>
        <v>1</v>
      </c>
      <c r="AH27" s="281">
        <f>AJ6*$AF27*E32</f>
        <v>0</v>
      </c>
      <c r="AI27" s="281">
        <f>AJ6*$AF27*H32</f>
        <v>0</v>
      </c>
      <c r="AJ27" s="281">
        <f>AJ6*$AF27*Q32</f>
        <v>29.693125353736669</v>
      </c>
      <c r="AK27" s="281">
        <f>AJ6*$AF27*T32</f>
        <v>11.311666801423494</v>
      </c>
      <c r="AL27" s="281">
        <f>AJ6*$AF27*X32</f>
        <v>0</v>
      </c>
      <c r="AM27" s="282">
        <f>AJ6*$AF27*AA32</f>
        <v>59.748361992275008</v>
      </c>
    </row>
    <row r="28" spans="2:45" x14ac:dyDescent="0.35">
      <c r="B28" s="105" t="s">
        <v>304</v>
      </c>
      <c r="C28" t="s">
        <v>297</v>
      </c>
      <c r="D28" s="183">
        <f>CostOfRawMaterialsBEV!D12</f>
        <v>24.446999999999999</v>
      </c>
      <c r="E28" s="241">
        <v>39</v>
      </c>
      <c r="F28" s="239">
        <f t="shared" ref="F28:F36" si="17">E28/E$37</f>
        <v>0.17874999999999999</v>
      </c>
      <c r="G28" s="232">
        <f t="shared" si="10"/>
        <v>953.43299999999999</v>
      </c>
      <c r="H28" s="244">
        <v>28</v>
      </c>
      <c r="I28" s="239">
        <f t="shared" ref="I28" si="18">H28/H$37</f>
        <v>0.1134</v>
      </c>
      <c r="J28" s="232">
        <f t="shared" ref="J28:J35" si="19">$D28*H28</f>
        <v>684.51599999999996</v>
      </c>
      <c r="K28" s="241">
        <v>32</v>
      </c>
      <c r="L28" s="239">
        <f t="shared" si="4"/>
        <v>0.13600000000000001</v>
      </c>
      <c r="M28" s="232">
        <f t="shared" ref="M28:M35" si="20">$D28*K28</f>
        <v>782.30399999999997</v>
      </c>
      <c r="N28" s="241">
        <v>43</v>
      </c>
      <c r="O28" s="239">
        <f t="shared" si="5"/>
        <v>0.19421666666666668</v>
      </c>
      <c r="P28" s="232">
        <f t="shared" ref="P28:P35" si="21">$D28*N28</f>
        <v>1051.221</v>
      </c>
      <c r="Q28" s="241">
        <v>0</v>
      </c>
      <c r="R28" s="239">
        <f t="shared" si="6"/>
        <v>0</v>
      </c>
      <c r="S28" s="232">
        <f t="shared" si="11"/>
        <v>0</v>
      </c>
      <c r="T28" s="241">
        <f t="shared" si="8"/>
        <v>0</v>
      </c>
      <c r="U28" s="239">
        <f t="shared" si="9"/>
        <v>0</v>
      </c>
      <c r="V28" s="232">
        <f t="shared" si="12"/>
        <v>0</v>
      </c>
      <c r="W28" s="241">
        <f>Y28*W$37</f>
        <v>61.824000000000005</v>
      </c>
      <c r="X28" s="241">
        <f t="shared" si="14"/>
        <v>44.609665427509299</v>
      </c>
      <c r="Y28" s="239">
        <v>0.2</v>
      </c>
      <c r="Z28" s="232">
        <f t="shared" ref="Z28:Z35" si="22">$D28*X28</f>
        <v>1090.5724907063197</v>
      </c>
      <c r="AA28" s="241">
        <f t="shared" si="15"/>
        <v>0</v>
      </c>
      <c r="AB28" s="239">
        <v>0</v>
      </c>
      <c r="AC28" s="232">
        <f t="shared" si="16"/>
        <v>0</v>
      </c>
      <c r="AE28" s="155" t="s">
        <v>306</v>
      </c>
      <c r="AF28" s="275">
        <f t="shared" si="1"/>
        <v>2.3479999999999999</v>
      </c>
      <c r="AG28" s="280">
        <f t="shared" si="2"/>
        <v>1</v>
      </c>
      <c r="AH28" s="281">
        <f>AJ6*$AF28*E33</f>
        <v>97.618099999999998</v>
      </c>
      <c r="AI28" s="281">
        <f>AJ6*$AF28*H33</f>
        <v>113.88778333333333</v>
      </c>
      <c r="AJ28" s="281">
        <f>AJ6*$AF28*Q33</f>
        <v>143.17321333333334</v>
      </c>
      <c r="AK28" s="281">
        <f>AJ6*$AF28*T33</f>
        <v>109.08435301587302</v>
      </c>
      <c r="AL28" s="281">
        <f>AJ6*$AF28*X33</f>
        <v>98.343885130111545</v>
      </c>
      <c r="AM28" s="282">
        <f>AJ6*$AF28*AA33</f>
        <v>262.95875687500006</v>
      </c>
    </row>
    <row r="29" spans="2:45" x14ac:dyDescent="0.35">
      <c r="B29" s="105" t="s">
        <v>683</v>
      </c>
      <c r="C29" t="s">
        <v>297</v>
      </c>
      <c r="D29" s="183">
        <f>CostOfRawMaterialsBEV!D17</f>
        <v>4.6190299999999995</v>
      </c>
      <c r="E29" s="241">
        <v>5</v>
      </c>
      <c r="F29" s="239">
        <f t="shared" si="17"/>
        <v>2.2916666666666665E-2</v>
      </c>
      <c r="G29" s="232">
        <f t="shared" si="10"/>
        <v>23.095149999999997</v>
      </c>
      <c r="H29" s="244">
        <v>16</v>
      </c>
      <c r="I29" s="239">
        <f t="shared" ref="I29" si="23">H29/H$37</f>
        <v>6.4799999999999996E-2</v>
      </c>
      <c r="J29" s="232">
        <f t="shared" si="19"/>
        <v>73.904479999999992</v>
      </c>
      <c r="K29" s="241">
        <v>10</v>
      </c>
      <c r="L29" s="239">
        <f t="shared" si="4"/>
        <v>4.2500000000000003E-2</v>
      </c>
      <c r="M29" s="232">
        <f t="shared" si="20"/>
        <v>46.190299999999993</v>
      </c>
      <c r="N29" s="241">
        <v>0</v>
      </c>
      <c r="O29" s="239">
        <f t="shared" si="5"/>
        <v>0</v>
      </c>
      <c r="P29" s="232">
        <f t="shared" si="21"/>
        <v>0</v>
      </c>
      <c r="Q29" s="241">
        <v>0</v>
      </c>
      <c r="R29" s="239">
        <f t="shared" si="6"/>
        <v>0</v>
      </c>
      <c r="S29" s="232">
        <f t="shared" si="11"/>
        <v>0</v>
      </c>
      <c r="T29" s="241">
        <f t="shared" si="8"/>
        <v>15.61904761904762</v>
      </c>
      <c r="U29" s="239">
        <f>0.5*R32</f>
        <v>5.4666666666666669E-2</v>
      </c>
      <c r="V29" s="232">
        <f t="shared" si="12"/>
        <v>72.144849523809526</v>
      </c>
      <c r="W29" s="241">
        <f>Y29*W$37</f>
        <v>0</v>
      </c>
      <c r="X29" s="241">
        <f t="shared" si="14"/>
        <v>0</v>
      </c>
      <c r="Y29" s="239">
        <v>0</v>
      </c>
      <c r="Z29" s="232">
        <f t="shared" si="22"/>
        <v>0</v>
      </c>
      <c r="AA29" s="241">
        <f t="shared" si="15"/>
        <v>18.75</v>
      </c>
      <c r="AB29" s="239">
        <v>0.05</v>
      </c>
      <c r="AC29" s="232">
        <f t="shared" si="16"/>
        <v>86.60681249999999</v>
      </c>
      <c r="AE29" s="155" t="s">
        <v>307</v>
      </c>
      <c r="AF29" s="275">
        <f t="shared" si="1"/>
        <v>8.2297600000000006</v>
      </c>
      <c r="AG29" s="280">
        <f t="shared" si="2"/>
        <v>1</v>
      </c>
      <c r="AH29" s="281">
        <f>AJ6*$AF29*E34</f>
        <v>228.1015146666667</v>
      </c>
      <c r="AI29" s="281">
        <f>AJ6*$AF29*H34</f>
        <v>228.1015146666667</v>
      </c>
      <c r="AJ29" s="281">
        <f>AJ6*$AF29*Q34</f>
        <v>296.5319690666667</v>
      </c>
      <c r="AK29" s="281">
        <f>AJ6*$AF29*T34</f>
        <v>225.92911928888893</v>
      </c>
      <c r="AL29" s="281">
        <f>AJ6*$AF29*X34</f>
        <v>203.51064505576213</v>
      </c>
      <c r="AM29" s="282">
        <f>AJ6*$AF29*AA34</f>
        <v>0</v>
      </c>
    </row>
    <row r="30" spans="2:45" x14ac:dyDescent="0.35">
      <c r="B30" s="155" t="s">
        <v>819</v>
      </c>
      <c r="C30" t="s">
        <v>676</v>
      </c>
      <c r="D30" s="183">
        <f>CostOfRawMaterialsBEV!D10</f>
        <v>9.5</v>
      </c>
      <c r="E30" s="241">
        <v>45</v>
      </c>
      <c r="F30" s="239">
        <f t="shared" si="17"/>
        <v>0.20624999999999999</v>
      </c>
      <c r="G30" s="232">
        <f t="shared" si="10"/>
        <v>427.5</v>
      </c>
      <c r="H30" s="244">
        <v>53</v>
      </c>
      <c r="I30" s="239">
        <f t="shared" ref="I30" si="24">H30/H$37</f>
        <v>0.21465000000000001</v>
      </c>
      <c r="J30" s="232">
        <f t="shared" si="19"/>
        <v>503.5</v>
      </c>
      <c r="K30" s="241">
        <v>50</v>
      </c>
      <c r="L30" s="239">
        <f t="shared" si="4"/>
        <v>0.21250000000000002</v>
      </c>
      <c r="M30" s="232">
        <f t="shared" si="20"/>
        <v>475</v>
      </c>
      <c r="N30" s="241">
        <v>44</v>
      </c>
      <c r="O30" s="239">
        <f t="shared" si="5"/>
        <v>0.19873333333333335</v>
      </c>
      <c r="P30" s="232">
        <f t="shared" si="21"/>
        <v>418</v>
      </c>
      <c r="Q30" s="241">
        <v>66</v>
      </c>
      <c r="R30" s="239">
        <f t="shared" si="6"/>
        <v>0.17599999999999999</v>
      </c>
      <c r="S30" s="232">
        <f t="shared" si="11"/>
        <v>627</v>
      </c>
      <c r="T30" s="241">
        <f t="shared" si="8"/>
        <v>50.285714285714285</v>
      </c>
      <c r="U30" s="239">
        <f t="shared" si="9"/>
        <v>0.17599999999999999</v>
      </c>
      <c r="V30" s="232">
        <f t="shared" si="12"/>
        <v>477.71428571428572</v>
      </c>
      <c r="W30" s="241">
        <f>Y30*W$37</f>
        <v>61.432448000000008</v>
      </c>
      <c r="X30" s="241">
        <f t="shared" si="14"/>
        <v>44.327137546468407</v>
      </c>
      <c r="Y30" s="239">
        <f>O30</f>
        <v>0.19873333333333335</v>
      </c>
      <c r="Z30" s="232">
        <f t="shared" si="22"/>
        <v>421.10780669144987</v>
      </c>
      <c r="AA30" s="241">
        <f t="shared" si="15"/>
        <v>0</v>
      </c>
      <c r="AB30" s="239">
        <v>0</v>
      </c>
      <c r="AC30" s="232">
        <f t="shared" si="16"/>
        <v>0</v>
      </c>
      <c r="AE30" s="155" t="s">
        <v>456</v>
      </c>
      <c r="AF30" s="275">
        <f t="shared" si="1"/>
        <v>0.52258994800000003</v>
      </c>
      <c r="AG30" s="280">
        <f>AG27</f>
        <v>1</v>
      </c>
      <c r="AH30" s="281">
        <f>AJ6*$AF30*E35</f>
        <v>14.484451392066669</v>
      </c>
      <c r="AI30" s="281">
        <f>AJ6*$AF30*H35</f>
        <v>14.484451392066669</v>
      </c>
      <c r="AJ30" s="281">
        <f>AJ6*$AF30*Q35</f>
        <v>18.82978680968667</v>
      </c>
      <c r="AK30" s="281">
        <f>AJ6*$AF30*T35</f>
        <v>14.346504235951748</v>
      </c>
      <c r="AL30" s="281">
        <f>AJ6*$AF30*X35</f>
        <v>12.403321108410996</v>
      </c>
      <c r="AM30" s="282">
        <f>AJ6*$AF30*AA35</f>
        <v>20.853083613515984</v>
      </c>
    </row>
    <row r="31" spans="2:45" x14ac:dyDescent="0.35">
      <c r="B31" s="155" t="s">
        <v>820</v>
      </c>
      <c r="C31" t="s">
        <v>675</v>
      </c>
      <c r="D31" s="170">
        <v>30</v>
      </c>
      <c r="E31" s="241">
        <v>0</v>
      </c>
      <c r="F31" s="239">
        <f t="shared" si="17"/>
        <v>0</v>
      </c>
      <c r="G31" s="232">
        <f t="shared" si="10"/>
        <v>0</v>
      </c>
      <c r="H31" s="244">
        <v>0</v>
      </c>
      <c r="I31" s="239">
        <f>H31/H$37</f>
        <v>0</v>
      </c>
      <c r="J31" s="232">
        <f t="shared" si="19"/>
        <v>0</v>
      </c>
      <c r="K31" s="241">
        <v>0</v>
      </c>
      <c r="L31" s="239">
        <f t="shared" si="4"/>
        <v>0</v>
      </c>
      <c r="M31" s="232">
        <f t="shared" si="20"/>
        <v>0</v>
      </c>
      <c r="N31" s="241">
        <v>0</v>
      </c>
      <c r="O31" s="239">
        <f t="shared" si="5"/>
        <v>0</v>
      </c>
      <c r="P31" s="232">
        <f t="shared" si="21"/>
        <v>0</v>
      </c>
      <c r="Q31" s="241">
        <v>0</v>
      </c>
      <c r="R31" s="239">
        <f t="shared" si="6"/>
        <v>0</v>
      </c>
      <c r="S31" s="232">
        <f t="shared" si="11"/>
        <v>0</v>
      </c>
      <c r="T31" s="241">
        <f t="shared" si="8"/>
        <v>0</v>
      </c>
      <c r="U31" s="239">
        <f>R31</f>
        <v>0</v>
      </c>
      <c r="V31" s="232">
        <f t="shared" si="12"/>
        <v>0</v>
      </c>
      <c r="W31" s="241">
        <v>0</v>
      </c>
      <c r="X31" s="241">
        <v>0</v>
      </c>
      <c r="Y31" s="239">
        <v>0</v>
      </c>
      <c r="Z31" s="232">
        <f t="shared" si="22"/>
        <v>0</v>
      </c>
      <c r="AA31" s="241">
        <f t="shared" si="15"/>
        <v>75</v>
      </c>
      <c r="AB31" s="239">
        <v>0.2</v>
      </c>
      <c r="AC31" s="232">
        <f t="shared" si="16"/>
        <v>2250</v>
      </c>
      <c r="AE31" s="155" t="s">
        <v>455</v>
      </c>
      <c r="AF31" s="177"/>
      <c r="AG31" s="177"/>
      <c r="AH31" s="177" t="s">
        <v>15</v>
      </c>
      <c r="AI31" s="177" t="s">
        <v>15</v>
      </c>
      <c r="AJ31" s="177" t="s">
        <v>15</v>
      </c>
      <c r="AK31" s="177" t="s">
        <v>15</v>
      </c>
      <c r="AL31" s="177" t="s">
        <v>15</v>
      </c>
      <c r="AM31" s="212" t="s">
        <v>15</v>
      </c>
    </row>
    <row r="32" spans="2:45" x14ac:dyDescent="0.35">
      <c r="B32" s="105" t="s">
        <v>305</v>
      </c>
      <c r="C32" t="s">
        <v>297</v>
      </c>
      <c r="D32" s="183">
        <f>CostOfRawMaterialsBEV!D23</f>
        <v>0.52258994800000003</v>
      </c>
      <c r="E32" s="241">
        <v>0</v>
      </c>
      <c r="F32" s="239">
        <f t="shared" si="17"/>
        <v>0</v>
      </c>
      <c r="G32" s="232">
        <f t="shared" si="10"/>
        <v>0</v>
      </c>
      <c r="H32" s="244">
        <v>0</v>
      </c>
      <c r="I32" s="239">
        <f t="shared" ref="I32" si="25">H32/H$37</f>
        <v>0</v>
      </c>
      <c r="J32" s="232">
        <f t="shared" si="19"/>
        <v>0</v>
      </c>
      <c r="K32" s="241">
        <v>0</v>
      </c>
      <c r="L32" s="239">
        <f t="shared" si="4"/>
        <v>0</v>
      </c>
      <c r="M32" s="232">
        <f t="shared" si="20"/>
        <v>0</v>
      </c>
      <c r="N32" s="241">
        <v>0</v>
      </c>
      <c r="O32" s="239">
        <f t="shared" si="5"/>
        <v>0</v>
      </c>
      <c r="P32" s="232">
        <f t="shared" si="21"/>
        <v>0</v>
      </c>
      <c r="Q32" s="241">
        <v>41</v>
      </c>
      <c r="R32" s="239">
        <f>Q32/Q$37</f>
        <v>0.10933333333333334</v>
      </c>
      <c r="S32" s="232">
        <f t="shared" si="11"/>
        <v>21.426187868</v>
      </c>
      <c r="T32" s="241">
        <f t="shared" si="8"/>
        <v>15.61904761904762</v>
      </c>
      <c r="U32" s="239">
        <f>0.5*R32</f>
        <v>5.4666666666666669E-2</v>
      </c>
      <c r="V32" s="232">
        <f t="shared" si="12"/>
        <v>8.162357283047621</v>
      </c>
      <c r="W32" s="241">
        <f>Y32*W$37</f>
        <v>0</v>
      </c>
      <c r="X32" s="241">
        <f t="shared" si="14"/>
        <v>0</v>
      </c>
      <c r="Y32" s="239">
        <v>0</v>
      </c>
      <c r="Z32" s="232">
        <f t="shared" si="22"/>
        <v>0</v>
      </c>
      <c r="AA32" s="241">
        <f t="shared" si="15"/>
        <v>82.5</v>
      </c>
      <c r="AB32" s="239">
        <f>Y27+Y28</f>
        <v>0.22</v>
      </c>
      <c r="AC32" s="232">
        <f t="shared" si="16"/>
        <v>43.113670710000001</v>
      </c>
      <c r="AE32" s="195" t="s">
        <v>830</v>
      </c>
      <c r="AF32" s="285"/>
      <c r="AG32" s="285"/>
      <c r="AH32" s="302">
        <f t="shared" ref="AH32:AM32" si="26">SUM(AH20:AH31)</f>
        <v>3715.4125340129008</v>
      </c>
      <c r="AI32" s="302">
        <f t="shared" si="26"/>
        <v>4300.1570873695673</v>
      </c>
      <c r="AJ32" s="302">
        <f t="shared" si="26"/>
        <v>2782.0539926584233</v>
      </c>
      <c r="AK32" s="302">
        <f t="shared" si="26"/>
        <v>2208.3292553795973</v>
      </c>
      <c r="AL32" s="302">
        <f t="shared" si="26"/>
        <v>4055.3429658629971</v>
      </c>
      <c r="AM32" s="303">
        <f t="shared" si="26"/>
        <v>3593.2204525234947</v>
      </c>
    </row>
    <row r="33" spans="2:41" x14ac:dyDescent="0.35">
      <c r="B33" s="105" t="s">
        <v>306</v>
      </c>
      <c r="C33" t="s">
        <v>680</v>
      </c>
      <c r="D33" s="183">
        <f>CostOfRawMaterialsBEV!D22</f>
        <v>2.3479999999999999</v>
      </c>
      <c r="E33" s="241">
        <v>30</v>
      </c>
      <c r="F33" s="239">
        <f t="shared" si="17"/>
        <v>0.13749999999999998</v>
      </c>
      <c r="G33" s="232">
        <f t="shared" si="10"/>
        <v>70.44</v>
      </c>
      <c r="H33" s="244">
        <v>35</v>
      </c>
      <c r="I33" s="239">
        <f t="shared" ref="I33" si="27">H33/H$37</f>
        <v>0.14175000000000001</v>
      </c>
      <c r="J33" s="232">
        <f t="shared" si="19"/>
        <v>82.179999999999993</v>
      </c>
      <c r="K33" s="241">
        <v>33</v>
      </c>
      <c r="L33" s="239">
        <f t="shared" si="4"/>
        <v>0.14025000000000001</v>
      </c>
      <c r="M33" s="232">
        <f t="shared" si="20"/>
        <v>77.483999999999995</v>
      </c>
      <c r="N33" s="241">
        <v>30</v>
      </c>
      <c r="O33" s="239">
        <f t="shared" si="5"/>
        <v>0.13550000000000001</v>
      </c>
      <c r="P33" s="232">
        <f t="shared" si="21"/>
        <v>70.44</v>
      </c>
      <c r="Q33" s="241">
        <v>44</v>
      </c>
      <c r="R33" s="239">
        <f t="shared" si="6"/>
        <v>0.11733333333333333</v>
      </c>
      <c r="S33" s="232">
        <f t="shared" si="11"/>
        <v>103.312</v>
      </c>
      <c r="T33" s="241">
        <f t="shared" si="8"/>
        <v>33.523809523809526</v>
      </c>
      <c r="U33" s="239">
        <f t="shared" si="9"/>
        <v>0.11733333333333333</v>
      </c>
      <c r="V33" s="232">
        <f t="shared" si="12"/>
        <v>78.713904761904757</v>
      </c>
      <c r="W33" s="241">
        <f>Y33*W$37</f>
        <v>41.885760000000005</v>
      </c>
      <c r="X33" s="241">
        <f t="shared" si="14"/>
        <v>30.223048327137551</v>
      </c>
      <c r="Y33" s="239">
        <f>O33</f>
        <v>0.13550000000000001</v>
      </c>
      <c r="Z33" s="232">
        <f t="shared" si="22"/>
        <v>70.963717472118972</v>
      </c>
      <c r="AA33" s="241">
        <f t="shared" si="15"/>
        <v>80.812500000000014</v>
      </c>
      <c r="AB33" s="239">
        <f>Y33+Y34</f>
        <v>0.21550000000000002</v>
      </c>
      <c r="AC33" s="232">
        <f t="shared" si="16"/>
        <v>189.74775000000002</v>
      </c>
      <c r="AE33" s="195" t="s">
        <v>829</v>
      </c>
      <c r="AF33" t="s">
        <v>310</v>
      </c>
      <c r="AH33" s="281">
        <f>(AH32/$K16)/$AJ6</f>
        <v>44.683253566000005</v>
      </c>
      <c r="AI33" s="281">
        <f t="shared" ref="AI33:AM33" si="28">(AI32/$K16)/$AJ6</f>
        <v>51.715659499333341</v>
      </c>
      <c r="AJ33" s="281">
        <f t="shared" si="28"/>
        <v>33.458256075266661</v>
      </c>
      <c r="AK33" s="281">
        <f t="shared" si="28"/>
        <v>26.558379499453963</v>
      </c>
      <c r="AL33" s="281">
        <f t="shared" si="28"/>
        <v>48.77141269829221</v>
      </c>
      <c r="AM33" s="282">
        <f t="shared" si="28"/>
        <v>43.213715604612077</v>
      </c>
    </row>
    <row r="34" spans="2:41" x14ac:dyDescent="0.35">
      <c r="B34" s="105" t="s">
        <v>307</v>
      </c>
      <c r="C34" t="s">
        <v>828</v>
      </c>
      <c r="D34" s="183">
        <f>CostOfRawMaterialsBEV!D16</f>
        <v>8.2297600000000006</v>
      </c>
      <c r="E34" s="241">
        <v>20</v>
      </c>
      <c r="F34" s="239">
        <f t="shared" si="17"/>
        <v>9.166666666666666E-2</v>
      </c>
      <c r="G34" s="232">
        <f t="shared" si="10"/>
        <v>164.59520000000001</v>
      </c>
      <c r="H34" s="244">
        <v>20</v>
      </c>
      <c r="I34" s="239">
        <f t="shared" ref="I34" si="29">H34/H$37</f>
        <v>8.1000000000000003E-2</v>
      </c>
      <c r="J34" s="232">
        <f t="shared" si="19"/>
        <v>164.59520000000001</v>
      </c>
      <c r="K34" s="241">
        <v>19</v>
      </c>
      <c r="L34" s="239">
        <f t="shared" si="4"/>
        <v>8.0750000000000002E-2</v>
      </c>
      <c r="M34" s="232">
        <f t="shared" si="20"/>
        <v>156.36544000000001</v>
      </c>
      <c r="N34" s="241">
        <v>17</v>
      </c>
      <c r="O34" s="239">
        <f t="shared" si="5"/>
        <v>7.6783333333333342E-2</v>
      </c>
      <c r="P34" s="232">
        <f t="shared" si="21"/>
        <v>139.90592000000001</v>
      </c>
      <c r="Q34" s="241">
        <v>26</v>
      </c>
      <c r="R34" s="239">
        <f t="shared" si="6"/>
        <v>6.933333333333333E-2</v>
      </c>
      <c r="S34" s="232">
        <f t="shared" si="11"/>
        <v>213.97376000000003</v>
      </c>
      <c r="T34" s="241">
        <f t="shared" si="8"/>
        <v>19.80952380952381</v>
      </c>
      <c r="U34" s="239">
        <f t="shared" si="9"/>
        <v>6.933333333333333E-2</v>
      </c>
      <c r="V34" s="232">
        <f t="shared" si="12"/>
        <v>163.02762666666669</v>
      </c>
      <c r="W34" s="241">
        <f>Y34*W$37</f>
        <v>24.729600000000001</v>
      </c>
      <c r="X34" s="241">
        <f t="shared" si="14"/>
        <v>17.843866171003718</v>
      </c>
      <c r="Y34" s="239">
        <v>0.08</v>
      </c>
      <c r="Z34" s="232">
        <f t="shared" si="22"/>
        <v>146.85073605947957</v>
      </c>
      <c r="AA34" s="241">
        <f t="shared" si="15"/>
        <v>0</v>
      </c>
      <c r="AB34" s="239">
        <v>0</v>
      </c>
      <c r="AC34" s="232">
        <f t="shared" si="16"/>
        <v>0</v>
      </c>
      <c r="AE34" s="195" t="s">
        <v>781</v>
      </c>
      <c r="AF34" s="294" t="s">
        <v>445</v>
      </c>
      <c r="AG34" s="65">
        <f>AO17</f>
        <v>1</v>
      </c>
      <c r="AH34" s="275">
        <f>50*AG34</f>
        <v>50</v>
      </c>
      <c r="AI34" s="275">
        <f>AH34</f>
        <v>50</v>
      </c>
      <c r="AJ34" s="275">
        <f>AI34</f>
        <v>50</v>
      </c>
      <c r="AK34" s="275">
        <f t="shared" ref="AK34:AM34" si="30">AJ34</f>
        <v>50</v>
      </c>
      <c r="AL34" s="275">
        <f t="shared" si="30"/>
        <v>50</v>
      </c>
      <c r="AM34" s="284">
        <f t="shared" si="30"/>
        <v>50</v>
      </c>
    </row>
    <row r="35" spans="2:41" x14ac:dyDescent="0.35">
      <c r="B35" s="105" t="s">
        <v>456</v>
      </c>
      <c r="C35" t="s">
        <v>298</v>
      </c>
      <c r="D35" s="183">
        <f>CostOfRawMaterialsBEV!D23</f>
        <v>0.52258994800000003</v>
      </c>
      <c r="E35" s="241">
        <v>20</v>
      </c>
      <c r="F35" s="239">
        <f t="shared" si="17"/>
        <v>9.166666666666666E-2</v>
      </c>
      <c r="G35" s="232">
        <f t="shared" si="10"/>
        <v>10.451798960000001</v>
      </c>
      <c r="H35" s="244">
        <v>20</v>
      </c>
      <c r="I35" s="239">
        <f t="shared" ref="I35" si="31">H35/H$37</f>
        <v>8.1000000000000003E-2</v>
      </c>
      <c r="J35" s="232">
        <f t="shared" si="19"/>
        <v>10.451798960000001</v>
      </c>
      <c r="K35" s="241">
        <v>19</v>
      </c>
      <c r="L35" s="239">
        <f t="shared" si="4"/>
        <v>8.0750000000000002E-2</v>
      </c>
      <c r="M35" s="232">
        <f t="shared" si="20"/>
        <v>9.9292090120000012</v>
      </c>
      <c r="N35" s="241">
        <v>17</v>
      </c>
      <c r="O35" s="239">
        <f t="shared" si="5"/>
        <v>7.6783333333333342E-2</v>
      </c>
      <c r="P35" s="232">
        <f t="shared" si="21"/>
        <v>8.8840291160000007</v>
      </c>
      <c r="Q35" s="241">
        <v>26</v>
      </c>
      <c r="R35" s="239">
        <f t="shared" si="6"/>
        <v>6.933333333333333E-2</v>
      </c>
      <c r="S35" s="232">
        <f t="shared" si="11"/>
        <v>13.587338648000001</v>
      </c>
      <c r="T35" s="241">
        <f t="shared" si="8"/>
        <v>19.80952380952381</v>
      </c>
      <c r="U35" s="239">
        <f t="shared" si="9"/>
        <v>6.933333333333333E-2</v>
      </c>
      <c r="V35" s="232">
        <f t="shared" si="12"/>
        <v>10.352258017523811</v>
      </c>
      <c r="W35" s="241">
        <f>Y35*W$37</f>
        <v>23.735264000000004</v>
      </c>
      <c r="X35" s="241">
        <f>W35*(K$16/W$16)</f>
        <v>17.126394052044613</v>
      </c>
      <c r="Y35" s="239">
        <f>O35</f>
        <v>7.6783333333333342E-2</v>
      </c>
      <c r="Z35" s="232">
        <f t="shared" si="22"/>
        <v>8.950081377085505</v>
      </c>
      <c r="AA35" s="241">
        <f t="shared" si="15"/>
        <v>28.793750000000003</v>
      </c>
      <c r="AB35" s="239">
        <f>Y35</f>
        <v>7.6783333333333342E-2</v>
      </c>
      <c r="AC35" s="232">
        <f t="shared" si="16"/>
        <v>15.047324315225001</v>
      </c>
      <c r="AE35" s="195" t="s">
        <v>825</v>
      </c>
      <c r="AF35" s="9" t="s">
        <v>785</v>
      </c>
      <c r="AG35" s="65">
        <f>AO18</f>
        <v>1</v>
      </c>
      <c r="AH35" s="275">
        <f t="shared" ref="AH35:AM35" si="32">$AG35*$AO35*(AH38/$AL38)</f>
        <v>29.34545454545454</v>
      </c>
      <c r="AI35" s="275">
        <f t="shared" si="32"/>
        <v>33.209876543209866</v>
      </c>
      <c r="AJ35" s="275">
        <f t="shared" si="32"/>
        <v>50.437499999999993</v>
      </c>
      <c r="AK35" s="275">
        <f t="shared" si="32"/>
        <v>38.428571428571431</v>
      </c>
      <c r="AL35" s="275">
        <f t="shared" si="32"/>
        <v>30</v>
      </c>
      <c r="AM35" s="284">
        <f t="shared" si="32"/>
        <v>50.437499999999993</v>
      </c>
      <c r="AN35" t="s">
        <v>846</v>
      </c>
      <c r="AO35" s="65">
        <v>30</v>
      </c>
    </row>
    <row r="36" spans="2:41" x14ac:dyDescent="0.35">
      <c r="B36" s="105" t="s">
        <v>455</v>
      </c>
      <c r="C36" t="s">
        <v>688</v>
      </c>
      <c r="D36" s="177" t="s">
        <v>576</v>
      </c>
      <c r="E36" s="241">
        <f>E37-SUM(E24,E26:E35)</f>
        <v>27.681818181818187</v>
      </c>
      <c r="F36" s="239">
        <f t="shared" si="17"/>
        <v>0.12687500000000002</v>
      </c>
      <c r="G36" s="232" t="s">
        <v>15</v>
      </c>
      <c r="H36" s="241">
        <f>H37-SUM(H24,H26:H35)</f>
        <v>26.813580246913574</v>
      </c>
      <c r="I36" s="239">
        <f t="shared" ref="I36" si="33">H36/H$37</f>
        <v>0.10859499999999998</v>
      </c>
      <c r="J36" s="232" t="s">
        <v>15</v>
      </c>
      <c r="K36" s="241">
        <f>K37-SUM(K24,K26:K35)</f>
        <v>29.4941176470588</v>
      </c>
      <c r="L36" s="239">
        <f t="shared" si="4"/>
        <v>0.12534999999999991</v>
      </c>
      <c r="M36" s="232" t="s">
        <v>15</v>
      </c>
      <c r="N36" s="241">
        <f>N37-SUM(N24,N26:N35)</f>
        <v>36.602214022140203</v>
      </c>
      <c r="O36" s="239">
        <f t="shared" si="5"/>
        <v>0.16531999999999991</v>
      </c>
      <c r="P36" s="232" t="s">
        <v>15</v>
      </c>
      <c r="Q36" s="241">
        <f>Q37-SUM(Q24,Q26:Q35)</f>
        <v>140.19999999999999</v>
      </c>
      <c r="R36" s="239">
        <f>Q36/Q$37</f>
        <v>0.37386666666666662</v>
      </c>
      <c r="S36" s="232" t="s">
        <v>15</v>
      </c>
      <c r="T36" s="241">
        <f>T37-SUM(T24,T26:T35)</f>
        <v>106.81904761904764</v>
      </c>
      <c r="U36" s="239">
        <f>T36/T$37</f>
        <v>0.37386666666666674</v>
      </c>
      <c r="V36" s="232" t="s">
        <v>15</v>
      </c>
      <c r="W36" s="241">
        <f>W37-SUM(W24,W26:W35)</f>
        <v>45.095455999999956</v>
      </c>
      <c r="X36" s="241">
        <f>X37-SUM(X24,X26:X35)</f>
        <v>32.539033457249047</v>
      </c>
      <c r="Y36" s="239">
        <f>X36/X$37</f>
        <v>0.14588333333333323</v>
      </c>
      <c r="Z36" s="232" t="s">
        <v>15</v>
      </c>
      <c r="AA36" s="241">
        <f>AA37-SUM(AA24,AA26:AA35)</f>
        <v>65.856249999999989</v>
      </c>
      <c r="AB36" s="239">
        <f>AA36/AA$37</f>
        <v>0.17561666666666664</v>
      </c>
      <c r="AC36" s="232" t="s">
        <v>15</v>
      </c>
      <c r="AE36" s="195" t="s">
        <v>782</v>
      </c>
      <c r="AH36" s="292">
        <f>SUM(AH33:AH35)</f>
        <v>124.02870811145455</v>
      </c>
      <c r="AI36" s="292">
        <f t="shared" ref="AI36:AM36" si="34">SUM(AI33:AI35)</f>
        <v>134.9255360425432</v>
      </c>
      <c r="AJ36" s="292">
        <f t="shared" si="34"/>
        <v>133.89575607526666</v>
      </c>
      <c r="AK36" s="292">
        <f t="shared" si="34"/>
        <v>114.98695092802539</v>
      </c>
      <c r="AL36" s="292">
        <f t="shared" si="34"/>
        <v>128.77141269829221</v>
      </c>
      <c r="AM36" s="293">
        <f t="shared" si="34"/>
        <v>143.65121560461208</v>
      </c>
    </row>
    <row r="37" spans="2:41" x14ac:dyDescent="0.35">
      <c r="B37" s="176" t="s">
        <v>292</v>
      </c>
      <c r="C37" s="4"/>
      <c r="D37" s="4"/>
      <c r="E37" s="242">
        <f>$K16*1000/E38</f>
        <v>218.18181818181819</v>
      </c>
      <c r="F37" s="132">
        <f>SUM(F24,F26:F36)</f>
        <v>1</v>
      </c>
      <c r="G37" s="88"/>
      <c r="H37" s="242">
        <f>$K16*1000/H38</f>
        <v>246.91358024691357</v>
      </c>
      <c r="I37" s="132">
        <f>SUM(I24,I26:I36)</f>
        <v>1</v>
      </c>
      <c r="J37" s="88"/>
      <c r="K37" s="242">
        <f>$K16*1000/K38</f>
        <v>235.29411764705881</v>
      </c>
      <c r="L37" s="132">
        <f>SUM(L24,L26:L36)</f>
        <v>0.99999999999999978</v>
      </c>
      <c r="M37" s="88"/>
      <c r="N37" s="242">
        <f>$K16*1000/N38</f>
        <v>221.40221402214021</v>
      </c>
      <c r="O37" s="132">
        <f>SUM(O24,O26:O36)</f>
        <v>0.99999999999999978</v>
      </c>
      <c r="P37" s="88"/>
      <c r="Q37" s="242">
        <f>$K16*1000/Q38</f>
        <v>375</v>
      </c>
      <c r="R37" s="132">
        <f>SUM(R24,R26:R36)</f>
        <v>1</v>
      </c>
      <c r="S37" s="88"/>
      <c r="T37" s="242">
        <f>$K16*1000/T38</f>
        <v>285.71428571428572</v>
      </c>
      <c r="U37" s="132">
        <f>SUM(U24,U26:U36)</f>
        <v>1</v>
      </c>
      <c r="V37" s="88"/>
      <c r="W37" s="242">
        <f>$W16*1000/W38</f>
        <v>309.12</v>
      </c>
      <c r="X37" s="242">
        <f>$K16*1000/X38</f>
        <v>223.04832713754647</v>
      </c>
      <c r="Y37" s="132">
        <f>SUM(Y24,Y26:Y36)</f>
        <v>0.99999999999999989</v>
      </c>
      <c r="Z37" s="88"/>
      <c r="AA37" s="242">
        <f>$K16*1000/AA38</f>
        <v>375</v>
      </c>
      <c r="AB37" s="132">
        <f>SUM(AB24,AB26:AB36)</f>
        <v>1</v>
      </c>
      <c r="AC37" s="88"/>
      <c r="AE37" s="195" t="s">
        <v>866</v>
      </c>
      <c r="AF37" s="343" t="s">
        <v>786</v>
      </c>
      <c r="AG37" s="285"/>
      <c r="AH37" s="344">
        <f>AH36*$AJ5</f>
        <v>10312.987079467446</v>
      </c>
      <c r="AI37" s="344">
        <f t="shared" ref="AI37:AM37" si="35">AI36*$AJ5</f>
        <v>11219.058321937468</v>
      </c>
      <c r="AJ37" s="344">
        <f t="shared" si="35"/>
        <v>11133.432117658424</v>
      </c>
      <c r="AK37" s="344">
        <f t="shared" si="35"/>
        <v>9561.164969665313</v>
      </c>
      <c r="AL37" s="344">
        <f>AL36*$AJ5</f>
        <v>10707.342965862998</v>
      </c>
      <c r="AM37" s="345">
        <f t="shared" si="35"/>
        <v>11944.598577523495</v>
      </c>
    </row>
    <row r="38" spans="2:41" x14ac:dyDescent="0.35">
      <c r="B38" s="176" t="s">
        <v>293</v>
      </c>
      <c r="C38" s="245"/>
      <c r="D38" s="245"/>
      <c r="E38" s="246">
        <v>275</v>
      </c>
      <c r="F38" s="246"/>
      <c r="G38" s="246"/>
      <c r="H38" s="246">
        <v>243</v>
      </c>
      <c r="I38" s="246"/>
      <c r="J38" s="246"/>
      <c r="K38" s="246">
        <v>255</v>
      </c>
      <c r="L38" s="246"/>
      <c r="M38" s="246"/>
      <c r="N38" s="246">
        <v>271</v>
      </c>
      <c r="O38" s="246"/>
      <c r="P38" s="246"/>
      <c r="Q38" s="246">
        <v>160</v>
      </c>
      <c r="R38" s="246"/>
      <c r="S38" s="246"/>
      <c r="T38" s="247">
        <v>210</v>
      </c>
      <c r="U38" s="246"/>
      <c r="V38" s="246"/>
      <c r="W38" s="247">
        <f>RawMaterialsBEV!F65</f>
        <v>269</v>
      </c>
      <c r="X38" s="246">
        <f>W38</f>
        <v>269</v>
      </c>
      <c r="Y38" s="245"/>
      <c r="Z38" s="246"/>
      <c r="AA38" s="245">
        <v>160</v>
      </c>
      <c r="AB38" s="248"/>
      <c r="AC38" s="249"/>
      <c r="AE38" s="304" t="s">
        <v>775</v>
      </c>
      <c r="AF38" s="237"/>
      <c r="AG38" s="237"/>
      <c r="AH38" s="309">
        <f>E37*AJ6</f>
        <v>302.36363636363637</v>
      </c>
      <c r="AI38" s="309">
        <f>H37*AJ6</f>
        <v>342.18106995884773</v>
      </c>
      <c r="AJ38" s="309">
        <f>Q37*AJ6</f>
        <v>519.6875</v>
      </c>
      <c r="AK38" s="309">
        <f>T37*AJ6</f>
        <v>395.95238095238102</v>
      </c>
      <c r="AL38" s="309">
        <f>X37*AJ6</f>
        <v>309.10780669144987</v>
      </c>
      <c r="AM38" s="310">
        <f>AA37*AJ6</f>
        <v>519.6875</v>
      </c>
    </row>
    <row r="39" spans="2:41" x14ac:dyDescent="0.35">
      <c r="B39" s="176" t="s">
        <v>677</v>
      </c>
      <c r="C39" s="245"/>
      <c r="D39" s="245"/>
      <c r="E39" s="249"/>
      <c r="F39" s="249"/>
      <c r="G39" s="249"/>
      <c r="H39" s="249"/>
      <c r="I39" s="249"/>
      <c r="J39" s="249"/>
      <c r="K39" s="249"/>
      <c r="L39" s="249"/>
      <c r="M39" s="249"/>
      <c r="N39" s="249"/>
      <c r="O39" s="249"/>
      <c r="P39" s="249"/>
      <c r="Q39" s="249">
        <v>350</v>
      </c>
      <c r="R39" s="249"/>
      <c r="S39" s="249"/>
      <c r="T39" s="249">
        <v>450</v>
      </c>
      <c r="U39" s="249"/>
      <c r="V39" s="249"/>
      <c r="W39" s="249">
        <v>750</v>
      </c>
      <c r="X39" s="249">
        <f>W39</f>
        <v>750</v>
      </c>
      <c r="Y39" s="248"/>
      <c r="Z39" s="249"/>
      <c r="AA39" s="248">
        <v>260</v>
      </c>
      <c r="AB39" s="248"/>
      <c r="AC39" s="249"/>
      <c r="AE39" s="304" t="s">
        <v>831</v>
      </c>
      <c r="AF39" s="132">
        <f>RawMaterialsBEV!F51</f>
        <v>0.71454451345755687</v>
      </c>
      <c r="AG39" s="237" t="s">
        <v>834</v>
      </c>
      <c r="AH39" s="309">
        <f>AH38*(1+$AF39)</f>
        <v>518.4159137963486</v>
      </c>
      <c r="AI39" s="309">
        <f t="shared" ref="AI39:AM39" si="36">AI38*(1+$AF39)</f>
        <v>586.68467610697883</v>
      </c>
      <c r="AJ39" s="309">
        <f t="shared" si="36"/>
        <v>891.02735183747416</v>
      </c>
      <c r="AK39" s="309">
        <f t="shared" si="36"/>
        <v>678.87798235236141</v>
      </c>
      <c r="AL39" s="309">
        <f t="shared" si="36"/>
        <v>529.97909402972448</v>
      </c>
      <c r="AM39" s="310">
        <f t="shared" si="36"/>
        <v>891.02735183747416</v>
      </c>
    </row>
    <row r="40" spans="2:41" x14ac:dyDescent="0.35">
      <c r="B40" s="176" t="s">
        <v>698</v>
      </c>
      <c r="C40" s="4"/>
      <c r="D40" s="4"/>
      <c r="E40" s="32"/>
      <c r="F40" s="32"/>
      <c r="G40" s="238">
        <f>SUM(G23:G36)</f>
        <v>2680.99521396</v>
      </c>
      <c r="H40" s="32"/>
      <c r="I40" s="32"/>
      <c r="J40" s="238">
        <f>SUM(J23:J36)</f>
        <v>3102.93956996</v>
      </c>
      <c r="K40" s="32"/>
      <c r="L40" s="32"/>
      <c r="M40" s="238">
        <f>SUM(M23:M36)</f>
        <v>2959.6990270120004</v>
      </c>
      <c r="N40" s="32"/>
      <c r="O40" s="32"/>
      <c r="P40" s="238">
        <f>SUM(P23:P36)</f>
        <v>2786.5070271160002</v>
      </c>
      <c r="Q40" s="32"/>
      <c r="R40" s="32"/>
      <c r="S40" s="238">
        <f>SUM(S23:S36)</f>
        <v>2007.4953645159999</v>
      </c>
      <c r="T40" s="32"/>
      <c r="U40" s="32"/>
      <c r="V40" s="238">
        <f>SUM(V23:V36)</f>
        <v>1593.502769967238</v>
      </c>
      <c r="W40" s="32"/>
      <c r="X40" s="32"/>
      <c r="Z40" s="238">
        <f>SUM(Z23:Z36)</f>
        <v>2926.2847618975316</v>
      </c>
      <c r="AC40" s="238">
        <f>SUM(AC23:AC36)</f>
        <v>2592.8229362767252</v>
      </c>
      <c r="AE40" s="304" t="s">
        <v>783</v>
      </c>
      <c r="AF40" s="237"/>
      <c r="AG40" s="237"/>
      <c r="AH40" s="311">
        <f>E38</f>
        <v>275</v>
      </c>
      <c r="AI40" s="311">
        <f>H38</f>
        <v>243</v>
      </c>
      <c r="AJ40" s="311">
        <f>Q38</f>
        <v>160</v>
      </c>
      <c r="AK40" s="311">
        <f>T38</f>
        <v>210</v>
      </c>
      <c r="AL40" s="311">
        <f>X38</f>
        <v>269</v>
      </c>
      <c r="AM40" s="312">
        <f>AA38</f>
        <v>160</v>
      </c>
    </row>
    <row r="41" spans="2:41" x14ac:dyDescent="0.35">
      <c r="B41" s="176" t="s">
        <v>699</v>
      </c>
      <c r="C41" s="4"/>
      <c r="D41" s="4"/>
      <c r="E41" s="32"/>
      <c r="F41" s="32"/>
      <c r="G41" s="238">
        <f>G40/$K16</f>
        <v>44.683253565999998</v>
      </c>
      <c r="H41" s="32"/>
      <c r="I41" s="32"/>
      <c r="J41" s="238">
        <f>J40/$K16</f>
        <v>51.715659499333334</v>
      </c>
      <c r="K41" s="32"/>
      <c r="L41" s="32"/>
      <c r="M41" s="238">
        <f>M40/$K16</f>
        <v>49.328317116866671</v>
      </c>
      <c r="N41" s="32"/>
      <c r="O41" s="32"/>
      <c r="P41" s="238">
        <f>P40/$K16</f>
        <v>46.441783785266672</v>
      </c>
      <c r="Q41" s="32"/>
      <c r="R41" s="32"/>
      <c r="S41" s="238">
        <f>S40/$K16</f>
        <v>33.458256075266668</v>
      </c>
      <c r="T41" s="32"/>
      <c r="U41" s="32"/>
      <c r="V41" s="238">
        <f>V40/$K16</f>
        <v>26.558379499453967</v>
      </c>
      <c r="W41" s="32"/>
      <c r="X41" s="32"/>
      <c r="Z41" s="238">
        <f>Z40/$K16</f>
        <v>48.771412698292195</v>
      </c>
      <c r="AC41" s="238">
        <f>AC40/$K16</f>
        <v>43.213715604612084</v>
      </c>
      <c r="AE41" s="304" t="s">
        <v>864</v>
      </c>
      <c r="AF41" s="237"/>
      <c r="AG41" s="237"/>
      <c r="AH41" s="132">
        <f t="shared" ref="AH41:AJ41" si="37">AH40/$AK40</f>
        <v>1.3095238095238095</v>
      </c>
      <c r="AI41" s="132">
        <f t="shared" si="37"/>
        <v>1.1571428571428573</v>
      </c>
      <c r="AJ41" s="132">
        <f t="shared" si="37"/>
        <v>0.76190476190476186</v>
      </c>
      <c r="AK41" s="132">
        <f>AK40/$AK40</f>
        <v>1</v>
      </c>
      <c r="AL41" s="132">
        <f t="shared" ref="AL41:AM41" si="38">AL40/$AK40</f>
        <v>1.2809523809523808</v>
      </c>
      <c r="AM41" s="317">
        <f t="shared" si="38"/>
        <v>0.76190476190476186</v>
      </c>
    </row>
    <row r="42" spans="2:41" x14ac:dyDescent="0.35">
      <c r="B42" s="4" t="s">
        <v>443</v>
      </c>
      <c r="C42" s="4"/>
      <c r="D42" s="4"/>
      <c r="E42" s="32">
        <f>SUM(E24,E26:E35)</f>
        <v>190.5</v>
      </c>
      <c r="F42" s="32"/>
      <c r="G42" s="32"/>
      <c r="H42" s="32">
        <f>SUM(H24,H26:H35)</f>
        <v>220.1</v>
      </c>
      <c r="I42" s="32"/>
      <c r="J42" s="32"/>
      <c r="K42" s="32">
        <f>SUM(K24,K26:K35)</f>
        <v>205.8</v>
      </c>
      <c r="L42" s="32"/>
      <c r="M42" s="32"/>
      <c r="N42" s="32">
        <f>SUM(N24,N26:N35)</f>
        <v>184.8</v>
      </c>
      <c r="O42" s="32"/>
      <c r="P42" s="32"/>
      <c r="Q42" s="32">
        <f>SUM(Q24,Q26:Q35)</f>
        <v>234.8</v>
      </c>
      <c r="R42" s="32"/>
      <c r="S42" s="32"/>
      <c r="T42" s="32">
        <f>SUM(T24,T26:T35)</f>
        <v>178.89523809523808</v>
      </c>
      <c r="U42" s="32"/>
      <c r="V42" s="32"/>
      <c r="W42" s="32">
        <f>SUM(W24,W26:W35)</f>
        <v>264.02454400000005</v>
      </c>
      <c r="X42" s="32">
        <f>SUM(X24,X26:X35)</f>
        <v>190.50929368029742</v>
      </c>
      <c r="AA42" s="32">
        <f>SUM(AA24,AA26:AA35)</f>
        <v>309.14375000000001</v>
      </c>
      <c r="AE42" s="304" t="s">
        <v>784</v>
      </c>
      <c r="AF42" s="237"/>
      <c r="AG42" s="237"/>
      <c r="AH42" s="328" t="s">
        <v>15</v>
      </c>
      <c r="AI42" s="328" t="s">
        <v>15</v>
      </c>
      <c r="AJ42" s="311">
        <f>Q39</f>
        <v>350</v>
      </c>
      <c r="AK42" s="311">
        <f>T39</f>
        <v>450</v>
      </c>
      <c r="AL42" s="311">
        <f>X39</f>
        <v>750</v>
      </c>
      <c r="AM42" s="312">
        <f>AA39</f>
        <v>260</v>
      </c>
    </row>
    <row r="43" spans="2:41" ht="15" thickBot="1" x14ac:dyDescent="0.4">
      <c r="B43" s="4" t="s">
        <v>310</v>
      </c>
      <c r="C43" s="4"/>
      <c r="D43" s="4"/>
      <c r="F43" s="9"/>
      <c r="G43" s="9"/>
      <c r="I43" s="9"/>
      <c r="J43" s="9"/>
      <c r="L43" s="9"/>
      <c r="M43" s="9"/>
      <c r="O43" s="9"/>
      <c r="P43" s="9"/>
      <c r="R43" s="9"/>
      <c r="S43" s="9"/>
      <c r="T43" s="9"/>
      <c r="U43" s="9"/>
      <c r="V43" s="9"/>
      <c r="W43" s="9"/>
      <c r="X43" s="9"/>
      <c r="AE43" s="22" t="s">
        <v>865</v>
      </c>
      <c r="AF43" s="24"/>
      <c r="AG43" s="24"/>
      <c r="AH43" s="24"/>
      <c r="AI43" s="24"/>
      <c r="AJ43" s="341">
        <f>AJ42/$AK42</f>
        <v>0.77777777777777779</v>
      </c>
      <c r="AK43" s="341">
        <f>AK42/$AK42</f>
        <v>1</v>
      </c>
      <c r="AL43" s="341">
        <f t="shared" ref="AL43:AM43" si="39">AL42/$AK42</f>
        <v>1.6666666666666667</v>
      </c>
      <c r="AM43" s="342">
        <f t="shared" si="39"/>
        <v>0.57777777777777772</v>
      </c>
    </row>
    <row r="44" spans="2:41" ht="15" thickTop="1" x14ac:dyDescent="0.35">
      <c r="B44" s="105" t="s">
        <v>302</v>
      </c>
      <c r="C44" s="9" t="s">
        <v>278</v>
      </c>
      <c r="D44" t="s">
        <v>576</v>
      </c>
      <c r="E44" s="9" t="s">
        <v>278</v>
      </c>
      <c r="F44" t="s">
        <v>440</v>
      </c>
      <c r="G44" t="s">
        <v>576</v>
      </c>
      <c r="H44" s="9" t="s">
        <v>278</v>
      </c>
      <c r="I44" t="s">
        <v>440</v>
      </c>
      <c r="J44" t="s">
        <v>576</v>
      </c>
      <c r="K44" s="9" t="s">
        <v>278</v>
      </c>
      <c r="L44" t="s">
        <v>440</v>
      </c>
      <c r="M44" t="s">
        <v>576</v>
      </c>
      <c r="N44" s="9" t="s">
        <v>278</v>
      </c>
      <c r="O44" t="s">
        <v>440</v>
      </c>
      <c r="P44" t="s">
        <v>576</v>
      </c>
      <c r="Q44" s="9" t="s">
        <v>278</v>
      </c>
      <c r="R44" t="s">
        <v>440</v>
      </c>
      <c r="S44" t="s">
        <v>576</v>
      </c>
      <c r="T44" t="s">
        <v>440</v>
      </c>
      <c r="U44" t="s">
        <v>686</v>
      </c>
      <c r="V44" t="s">
        <v>576</v>
      </c>
      <c r="W44" t="s">
        <v>440</v>
      </c>
      <c r="X44" t="s">
        <v>259</v>
      </c>
      <c r="Y44" s="9" t="s">
        <v>217</v>
      </c>
      <c r="Z44" t="s">
        <v>576</v>
      </c>
      <c r="AA44" t="s">
        <v>576</v>
      </c>
      <c r="AB44" t="s">
        <v>433</v>
      </c>
      <c r="AC44" t="s">
        <v>576</v>
      </c>
      <c r="AE44" s="119" t="s">
        <v>463</v>
      </c>
      <c r="AF44" s="116"/>
      <c r="AG44" s="116"/>
      <c r="AH44" s="116"/>
      <c r="AI44" s="116"/>
      <c r="AJ44" s="116"/>
      <c r="AK44" s="116"/>
      <c r="AL44" s="116"/>
      <c r="AM44" s="116"/>
    </row>
    <row r="45" spans="2:41" x14ac:dyDescent="0.35">
      <c r="B45" s="105" t="s">
        <v>696</v>
      </c>
      <c r="C45" s="9" t="s">
        <v>278</v>
      </c>
      <c r="D45" t="s">
        <v>315</v>
      </c>
      <c r="E45" t="s">
        <v>440</v>
      </c>
      <c r="F45" t="s">
        <v>440</v>
      </c>
      <c r="G45" t="s">
        <v>440</v>
      </c>
      <c r="H45" t="s">
        <v>440</v>
      </c>
      <c r="I45" t="s">
        <v>440</v>
      </c>
      <c r="J45" t="s">
        <v>440</v>
      </c>
      <c r="K45" t="s">
        <v>440</v>
      </c>
      <c r="L45" t="s">
        <v>440</v>
      </c>
      <c r="M45" t="s">
        <v>440</v>
      </c>
      <c r="N45" t="s">
        <v>440</v>
      </c>
      <c r="O45" t="s">
        <v>440</v>
      </c>
      <c r="P45" t="s">
        <v>440</v>
      </c>
      <c r="Q45" t="s">
        <v>440</v>
      </c>
      <c r="R45" t="s">
        <v>440</v>
      </c>
      <c r="S45" t="s">
        <v>440</v>
      </c>
      <c r="T45" t="s">
        <v>440</v>
      </c>
      <c r="U45" t="s">
        <v>686</v>
      </c>
      <c r="V45" t="s">
        <v>440</v>
      </c>
      <c r="W45" t="s">
        <v>440</v>
      </c>
      <c r="X45" t="s">
        <v>440</v>
      </c>
      <c r="Y45" t="s">
        <v>440</v>
      </c>
      <c r="Z45" t="s">
        <v>440</v>
      </c>
      <c r="AA45" t="s">
        <v>576</v>
      </c>
      <c r="AB45" t="s">
        <v>433</v>
      </c>
      <c r="AC45" t="s">
        <v>440</v>
      </c>
      <c r="AD45" t="s">
        <v>15</v>
      </c>
      <c r="AE45" s="4"/>
    </row>
    <row r="46" spans="2:41" x14ac:dyDescent="0.35">
      <c r="B46" s="105" t="s">
        <v>427</v>
      </c>
      <c r="C46" s="9" t="s">
        <v>278</v>
      </c>
      <c r="D46" t="s">
        <v>576</v>
      </c>
      <c r="E46" t="s">
        <v>576</v>
      </c>
      <c r="F46" t="s">
        <v>440</v>
      </c>
      <c r="G46" t="s">
        <v>576</v>
      </c>
      <c r="H46" t="s">
        <v>576</v>
      </c>
      <c r="I46" t="s">
        <v>440</v>
      </c>
      <c r="J46" t="s">
        <v>576</v>
      </c>
      <c r="K46" t="s">
        <v>576</v>
      </c>
      <c r="L46" t="s">
        <v>440</v>
      </c>
      <c r="M46" t="s">
        <v>576</v>
      </c>
      <c r="N46" t="s">
        <v>576</v>
      </c>
      <c r="O46" t="s">
        <v>440</v>
      </c>
      <c r="P46" t="s">
        <v>576</v>
      </c>
      <c r="Q46" t="s">
        <v>576</v>
      </c>
      <c r="R46" t="s">
        <v>440</v>
      </c>
      <c r="S46" t="s">
        <v>576</v>
      </c>
      <c r="T46" t="s">
        <v>440</v>
      </c>
      <c r="U46" t="s">
        <v>686</v>
      </c>
      <c r="V46" t="s">
        <v>576</v>
      </c>
      <c r="W46" t="s">
        <v>576</v>
      </c>
      <c r="X46" t="s">
        <v>576</v>
      </c>
      <c r="Y46" t="s">
        <v>440</v>
      </c>
      <c r="Z46" t="s">
        <v>576</v>
      </c>
      <c r="AA46" t="s">
        <v>440</v>
      </c>
      <c r="AB46" t="s">
        <v>721</v>
      </c>
      <c r="AC46" t="s">
        <v>576</v>
      </c>
      <c r="AD46" t="s">
        <v>15</v>
      </c>
      <c r="AE46" t="s">
        <v>835</v>
      </c>
      <c r="AH46" s="8">
        <f t="shared" ref="AH46:AM46" si="40">(AH33+AH34)/AH36</f>
        <v>0.76339788592263524</v>
      </c>
      <c r="AI46" s="8">
        <f t="shared" si="40"/>
        <v>0.75386515023561962</v>
      </c>
      <c r="AJ46" s="8">
        <f t="shared" si="40"/>
        <v>0.62330770236177147</v>
      </c>
      <c r="AK46" s="8">
        <f t="shared" si="40"/>
        <v>0.66580058764559036</v>
      </c>
      <c r="AL46" s="8">
        <f t="shared" si="40"/>
        <v>0.76702903718009874</v>
      </c>
      <c r="AM46" s="8">
        <f t="shared" si="40"/>
        <v>0.64888915288524263</v>
      </c>
    </row>
    <row r="47" spans="2:41" x14ac:dyDescent="0.35">
      <c r="B47" s="105" t="s">
        <v>693</v>
      </c>
      <c r="C47" s="9" t="s">
        <v>278</v>
      </c>
      <c r="D47" t="s">
        <v>315</v>
      </c>
      <c r="E47" t="s">
        <v>576</v>
      </c>
      <c r="F47" t="s">
        <v>440</v>
      </c>
      <c r="G47" t="s">
        <v>440</v>
      </c>
      <c r="H47" t="s">
        <v>576</v>
      </c>
      <c r="I47" t="s">
        <v>440</v>
      </c>
      <c r="J47" t="s">
        <v>440</v>
      </c>
      <c r="K47" t="s">
        <v>576</v>
      </c>
      <c r="L47" t="s">
        <v>440</v>
      </c>
      <c r="M47" t="s">
        <v>440</v>
      </c>
      <c r="N47" t="s">
        <v>576</v>
      </c>
      <c r="O47" t="s">
        <v>440</v>
      </c>
      <c r="P47" t="s">
        <v>440</v>
      </c>
      <c r="Q47" t="s">
        <v>576</v>
      </c>
      <c r="R47" t="s">
        <v>440</v>
      </c>
      <c r="S47" t="s">
        <v>440</v>
      </c>
      <c r="T47" t="s">
        <v>440</v>
      </c>
      <c r="U47" t="s">
        <v>686</v>
      </c>
      <c r="V47" t="s">
        <v>440</v>
      </c>
      <c r="W47" t="s">
        <v>576</v>
      </c>
      <c r="X47" t="s">
        <v>576</v>
      </c>
      <c r="Y47" t="s">
        <v>440</v>
      </c>
      <c r="Z47" t="s">
        <v>440</v>
      </c>
      <c r="AA47" t="s">
        <v>440</v>
      </c>
      <c r="AB47" t="s">
        <v>440</v>
      </c>
      <c r="AC47" t="s">
        <v>440</v>
      </c>
      <c r="AD47" t="s">
        <v>15</v>
      </c>
      <c r="AE47" t="s">
        <v>845</v>
      </c>
      <c r="AH47" s="243">
        <f t="shared" ref="AH47:AM47" si="41">AH41*AH39</f>
        <v>678.8779823523613</v>
      </c>
      <c r="AI47" s="243">
        <f t="shared" si="41"/>
        <v>678.8779823523613</v>
      </c>
      <c r="AJ47" s="243">
        <f t="shared" si="41"/>
        <v>678.87798235236119</v>
      </c>
      <c r="AK47" s="243">
        <f t="shared" si="41"/>
        <v>678.87798235236141</v>
      </c>
      <c r="AL47" s="243">
        <f t="shared" si="41"/>
        <v>678.8779823523613</v>
      </c>
      <c r="AM47" s="243">
        <f t="shared" si="41"/>
        <v>678.87798235236119</v>
      </c>
    </row>
    <row r="48" spans="2:41" x14ac:dyDescent="0.35">
      <c r="B48" s="105" t="s">
        <v>303</v>
      </c>
      <c r="C48" s="9" t="s">
        <v>278</v>
      </c>
      <c r="D48" t="s">
        <v>315</v>
      </c>
      <c r="E48" s="9" t="s">
        <v>278</v>
      </c>
      <c r="F48" t="s">
        <v>440</v>
      </c>
      <c r="G48" t="s">
        <v>440</v>
      </c>
      <c r="H48" s="9" t="s">
        <v>278</v>
      </c>
      <c r="I48" t="s">
        <v>440</v>
      </c>
      <c r="J48" t="s">
        <v>440</v>
      </c>
      <c r="K48" s="9" t="s">
        <v>278</v>
      </c>
      <c r="L48" t="s">
        <v>440</v>
      </c>
      <c r="M48" t="s">
        <v>440</v>
      </c>
      <c r="N48" s="9" t="s">
        <v>278</v>
      </c>
      <c r="O48" t="s">
        <v>440</v>
      </c>
      <c r="P48" t="s">
        <v>440</v>
      </c>
      <c r="Q48" s="9" t="s">
        <v>278</v>
      </c>
      <c r="R48" t="s">
        <v>440</v>
      </c>
      <c r="S48" t="s">
        <v>440</v>
      </c>
      <c r="T48" t="s">
        <v>440</v>
      </c>
      <c r="U48" t="s">
        <v>686</v>
      </c>
      <c r="V48" t="s">
        <v>440</v>
      </c>
      <c r="W48" t="s">
        <v>440</v>
      </c>
      <c r="X48" t="s">
        <v>259</v>
      </c>
      <c r="Y48" s="9" t="s">
        <v>217</v>
      </c>
      <c r="Z48" t="s">
        <v>440</v>
      </c>
      <c r="AA48" t="s">
        <v>440</v>
      </c>
      <c r="AB48" s="9" t="s">
        <v>434</v>
      </c>
      <c r="AC48" t="s">
        <v>435</v>
      </c>
      <c r="AD48" t="s">
        <v>15</v>
      </c>
    </row>
    <row r="49" spans="2:30" x14ac:dyDescent="0.35">
      <c r="B49" s="105" t="s">
        <v>304</v>
      </c>
      <c r="C49" s="9" t="s">
        <v>278</v>
      </c>
      <c r="D49" t="s">
        <v>315</v>
      </c>
      <c r="E49" s="9" t="s">
        <v>278</v>
      </c>
      <c r="F49" t="s">
        <v>440</v>
      </c>
      <c r="G49" t="s">
        <v>440</v>
      </c>
      <c r="H49" s="9" t="s">
        <v>278</v>
      </c>
      <c r="I49" t="s">
        <v>440</v>
      </c>
      <c r="J49" t="s">
        <v>440</v>
      </c>
      <c r="K49" s="9" t="s">
        <v>278</v>
      </c>
      <c r="L49" t="s">
        <v>440</v>
      </c>
      <c r="M49" t="s">
        <v>440</v>
      </c>
      <c r="N49" s="9" t="s">
        <v>278</v>
      </c>
      <c r="O49" t="s">
        <v>440</v>
      </c>
      <c r="P49" t="s">
        <v>440</v>
      </c>
      <c r="Q49" s="9" t="s">
        <v>278</v>
      </c>
      <c r="R49" t="s">
        <v>440</v>
      </c>
      <c r="S49" t="s">
        <v>440</v>
      </c>
      <c r="T49" t="s">
        <v>440</v>
      </c>
      <c r="U49" t="s">
        <v>686</v>
      </c>
      <c r="V49" t="s">
        <v>440</v>
      </c>
      <c r="W49" t="s">
        <v>440</v>
      </c>
      <c r="X49" t="s">
        <v>259</v>
      </c>
      <c r="Y49" s="9" t="s">
        <v>217</v>
      </c>
      <c r="Z49" t="s">
        <v>440</v>
      </c>
      <c r="AA49" t="s">
        <v>440</v>
      </c>
      <c r="AB49" s="9" t="s">
        <v>434</v>
      </c>
      <c r="AC49" t="s">
        <v>435</v>
      </c>
      <c r="AD49" t="s">
        <v>15</v>
      </c>
    </row>
    <row r="50" spans="2:30" x14ac:dyDescent="0.35">
      <c r="B50" s="105" t="s">
        <v>683</v>
      </c>
      <c r="C50" s="9" t="s">
        <v>278</v>
      </c>
      <c r="D50" t="s">
        <v>315</v>
      </c>
      <c r="E50" s="9" t="s">
        <v>278</v>
      </c>
      <c r="F50" t="s">
        <v>440</v>
      </c>
      <c r="G50" t="s">
        <v>440</v>
      </c>
      <c r="H50" s="9" t="s">
        <v>278</v>
      </c>
      <c r="I50" t="s">
        <v>440</v>
      </c>
      <c r="J50" t="s">
        <v>440</v>
      </c>
      <c r="K50" s="9" t="s">
        <v>278</v>
      </c>
      <c r="L50" t="s">
        <v>440</v>
      </c>
      <c r="M50" t="s">
        <v>440</v>
      </c>
      <c r="N50" s="9" t="s">
        <v>278</v>
      </c>
      <c r="O50" t="s">
        <v>440</v>
      </c>
      <c r="P50" t="s">
        <v>440</v>
      </c>
      <c r="Q50" s="9" t="s">
        <v>278</v>
      </c>
      <c r="R50" t="s">
        <v>440</v>
      </c>
      <c r="S50" t="s">
        <v>440</v>
      </c>
      <c r="T50" t="s">
        <v>440</v>
      </c>
      <c r="U50" t="s">
        <v>687</v>
      </c>
      <c r="V50" t="s">
        <v>440</v>
      </c>
      <c r="W50" t="s">
        <v>440</v>
      </c>
      <c r="X50" t="s">
        <v>440</v>
      </c>
      <c r="Y50" s="9" t="s">
        <v>716</v>
      </c>
      <c r="Z50" t="s">
        <v>440</v>
      </c>
      <c r="AA50" t="s">
        <v>440</v>
      </c>
      <c r="AB50" s="9" t="s">
        <v>434</v>
      </c>
      <c r="AC50" t="s">
        <v>722</v>
      </c>
      <c r="AD50" t="s">
        <v>15</v>
      </c>
    </row>
    <row r="51" spans="2:30" x14ac:dyDescent="0.35">
      <c r="B51" s="105" t="str">
        <f>B30</f>
        <v>Graphite C, for Li-ion</v>
      </c>
      <c r="C51" s="9" t="s">
        <v>278</v>
      </c>
      <c r="D51" t="s">
        <v>315</v>
      </c>
      <c r="E51" s="9" t="s">
        <v>278</v>
      </c>
      <c r="F51" t="s">
        <v>440</v>
      </c>
      <c r="G51" t="s">
        <v>440</v>
      </c>
      <c r="H51" s="9" t="s">
        <v>278</v>
      </c>
      <c r="I51" t="s">
        <v>440</v>
      </c>
      <c r="J51" t="s">
        <v>440</v>
      </c>
      <c r="K51" s="9" t="s">
        <v>278</v>
      </c>
      <c r="L51" t="s">
        <v>440</v>
      </c>
      <c r="M51" t="s">
        <v>440</v>
      </c>
      <c r="N51" s="9" t="s">
        <v>278</v>
      </c>
      <c r="O51" t="s">
        <v>440</v>
      </c>
      <c r="P51" t="s">
        <v>440</v>
      </c>
      <c r="Q51" s="9" t="s">
        <v>278</v>
      </c>
      <c r="R51" t="s">
        <v>440</v>
      </c>
      <c r="S51" t="s">
        <v>440</v>
      </c>
      <c r="T51" t="s">
        <v>440</v>
      </c>
      <c r="U51" t="s">
        <v>686</v>
      </c>
      <c r="V51" t="s">
        <v>440</v>
      </c>
      <c r="W51" t="s">
        <v>440</v>
      </c>
      <c r="X51" t="s">
        <v>440</v>
      </c>
      <c r="Y51" t="s">
        <v>717</v>
      </c>
      <c r="Z51" t="s">
        <v>440</v>
      </c>
      <c r="AA51" t="s">
        <v>440</v>
      </c>
      <c r="AB51" s="9" t="s">
        <v>434</v>
      </c>
      <c r="AC51" t="s">
        <v>441</v>
      </c>
      <c r="AD51" t="s">
        <v>15</v>
      </c>
    </row>
    <row r="52" spans="2:30" x14ac:dyDescent="0.35">
      <c r="B52" s="105" t="s">
        <v>438</v>
      </c>
      <c r="C52" s="9" t="s">
        <v>278</v>
      </c>
      <c r="D52" s="9" t="s">
        <v>445</v>
      </c>
      <c r="E52" t="s">
        <v>576</v>
      </c>
      <c r="F52" t="s">
        <v>440</v>
      </c>
      <c r="G52" t="s">
        <v>440</v>
      </c>
      <c r="H52" t="s">
        <v>576</v>
      </c>
      <c r="I52" t="s">
        <v>440</v>
      </c>
      <c r="J52" t="s">
        <v>440</v>
      </c>
      <c r="K52" t="s">
        <v>576</v>
      </c>
      <c r="L52" t="s">
        <v>440</v>
      </c>
      <c r="M52" t="s">
        <v>440</v>
      </c>
      <c r="N52" t="s">
        <v>576</v>
      </c>
      <c r="O52" t="s">
        <v>440</v>
      </c>
      <c r="P52" t="s">
        <v>440</v>
      </c>
      <c r="Q52" t="s">
        <v>576</v>
      </c>
      <c r="R52" t="s">
        <v>440</v>
      </c>
      <c r="S52" t="s">
        <v>440</v>
      </c>
      <c r="T52" t="s">
        <v>440</v>
      </c>
      <c r="U52" t="s">
        <v>686</v>
      </c>
      <c r="V52" t="s">
        <v>440</v>
      </c>
      <c r="W52" t="s">
        <v>440</v>
      </c>
      <c r="X52" t="s">
        <v>576</v>
      </c>
      <c r="Y52" t="s">
        <v>718</v>
      </c>
      <c r="Z52" t="s">
        <v>440</v>
      </c>
      <c r="AA52" t="s">
        <v>440</v>
      </c>
      <c r="AB52" s="9" t="s">
        <v>434</v>
      </c>
      <c r="AC52" t="s">
        <v>442</v>
      </c>
      <c r="AD52" t="s">
        <v>15</v>
      </c>
    </row>
    <row r="53" spans="2:30" x14ac:dyDescent="0.35">
      <c r="B53" s="105" t="s">
        <v>305</v>
      </c>
      <c r="C53" s="9" t="s">
        <v>278</v>
      </c>
      <c r="D53" t="s">
        <v>315</v>
      </c>
      <c r="E53" s="9" t="s">
        <v>278</v>
      </c>
      <c r="F53" t="s">
        <v>440</v>
      </c>
      <c r="G53" t="s">
        <v>440</v>
      </c>
      <c r="H53" s="9" t="s">
        <v>278</v>
      </c>
      <c r="I53" t="s">
        <v>440</v>
      </c>
      <c r="J53" t="s">
        <v>440</v>
      </c>
      <c r="K53" s="9" t="s">
        <v>278</v>
      </c>
      <c r="L53" t="s">
        <v>440</v>
      </c>
      <c r="M53" t="s">
        <v>440</v>
      </c>
      <c r="N53" s="9" t="s">
        <v>278</v>
      </c>
      <c r="O53" t="s">
        <v>440</v>
      </c>
      <c r="P53" t="s">
        <v>440</v>
      </c>
      <c r="Q53" s="9" t="s">
        <v>278</v>
      </c>
      <c r="R53" t="s">
        <v>440</v>
      </c>
      <c r="S53" t="s">
        <v>440</v>
      </c>
      <c r="T53" t="s">
        <v>440</v>
      </c>
      <c r="U53" t="s">
        <v>687</v>
      </c>
      <c r="V53" t="s">
        <v>440</v>
      </c>
      <c r="W53" t="s">
        <v>440</v>
      </c>
      <c r="X53" t="s">
        <v>440</v>
      </c>
      <c r="Y53" s="133" t="s">
        <v>311</v>
      </c>
      <c r="Z53" t="s">
        <v>440</v>
      </c>
      <c r="AA53" t="s">
        <v>440</v>
      </c>
      <c r="AB53" s="9" t="s">
        <v>434</v>
      </c>
      <c r="AC53" t="s">
        <v>723</v>
      </c>
      <c r="AD53" t="s">
        <v>15</v>
      </c>
    </row>
    <row r="54" spans="2:30" x14ac:dyDescent="0.35">
      <c r="B54" s="105" t="s">
        <v>306</v>
      </c>
      <c r="C54" s="9" t="s">
        <v>278</v>
      </c>
      <c r="D54" t="s">
        <v>315</v>
      </c>
      <c r="E54" s="9" t="s">
        <v>278</v>
      </c>
      <c r="F54" t="s">
        <v>440</v>
      </c>
      <c r="G54" t="s">
        <v>440</v>
      </c>
      <c r="H54" s="9" t="s">
        <v>278</v>
      </c>
      <c r="I54" t="s">
        <v>440</v>
      </c>
      <c r="J54" t="s">
        <v>440</v>
      </c>
      <c r="K54" s="9" t="s">
        <v>278</v>
      </c>
      <c r="L54" t="s">
        <v>440</v>
      </c>
      <c r="M54" t="s">
        <v>440</v>
      </c>
      <c r="N54" s="9" t="s">
        <v>278</v>
      </c>
      <c r="O54" t="s">
        <v>440</v>
      </c>
      <c r="P54" t="s">
        <v>440</v>
      </c>
      <c r="Q54" s="9" t="s">
        <v>278</v>
      </c>
      <c r="R54" t="s">
        <v>440</v>
      </c>
      <c r="S54" t="s">
        <v>440</v>
      </c>
      <c r="T54" t="s">
        <v>440</v>
      </c>
      <c r="U54" t="s">
        <v>686</v>
      </c>
      <c r="V54" t="s">
        <v>440</v>
      </c>
      <c r="W54" t="s">
        <v>440</v>
      </c>
      <c r="X54" t="s">
        <v>440</v>
      </c>
      <c r="Y54" t="s">
        <v>719</v>
      </c>
      <c r="Z54" t="s">
        <v>440</v>
      </c>
      <c r="AA54" t="s">
        <v>440</v>
      </c>
      <c r="AB54" s="9" t="s">
        <v>434</v>
      </c>
      <c r="AC54" t="s">
        <v>826</v>
      </c>
      <c r="AD54" t="s">
        <v>15</v>
      </c>
    </row>
    <row r="55" spans="2:30" x14ac:dyDescent="0.35">
      <c r="B55" s="105" t="s">
        <v>307</v>
      </c>
      <c r="C55" s="9" t="s">
        <v>278</v>
      </c>
      <c r="D55" t="s">
        <v>315</v>
      </c>
      <c r="E55" s="9" t="s">
        <v>278</v>
      </c>
      <c r="F55" t="s">
        <v>440</v>
      </c>
      <c r="G55" t="s">
        <v>440</v>
      </c>
      <c r="H55" s="9" t="s">
        <v>278</v>
      </c>
      <c r="I55" t="s">
        <v>440</v>
      </c>
      <c r="J55" t="s">
        <v>440</v>
      </c>
      <c r="K55" s="9" t="s">
        <v>278</v>
      </c>
      <c r="L55" t="s">
        <v>440</v>
      </c>
      <c r="M55" t="s">
        <v>440</v>
      </c>
      <c r="N55" s="9" t="s">
        <v>278</v>
      </c>
      <c r="O55" t="s">
        <v>440</v>
      </c>
      <c r="P55" t="s">
        <v>440</v>
      </c>
      <c r="Q55" s="9" t="s">
        <v>278</v>
      </c>
      <c r="R55" t="s">
        <v>440</v>
      </c>
      <c r="S55" t="s">
        <v>440</v>
      </c>
      <c r="T55" t="s">
        <v>440</v>
      </c>
      <c r="U55" t="s">
        <v>686</v>
      </c>
      <c r="V55" t="s">
        <v>440</v>
      </c>
      <c r="W55" t="s">
        <v>440</v>
      </c>
      <c r="X55" t="s">
        <v>440</v>
      </c>
      <c r="Y55" s="9" t="s">
        <v>58</v>
      </c>
      <c r="Z55" t="s">
        <v>440</v>
      </c>
      <c r="AA55" t="s">
        <v>440</v>
      </c>
      <c r="AB55" s="9" t="s">
        <v>434</v>
      </c>
      <c r="AC55" t="s">
        <v>439</v>
      </c>
      <c r="AD55" t="s">
        <v>15</v>
      </c>
    </row>
    <row r="56" spans="2:30" x14ac:dyDescent="0.35">
      <c r="B56" s="105" t="s">
        <v>308</v>
      </c>
      <c r="C56" s="9" t="s">
        <v>278</v>
      </c>
      <c r="D56" t="s">
        <v>315</v>
      </c>
      <c r="E56" s="9" t="s">
        <v>278</v>
      </c>
      <c r="F56" t="s">
        <v>440</v>
      </c>
      <c r="G56" t="s">
        <v>440</v>
      </c>
      <c r="H56" s="9" t="s">
        <v>278</v>
      </c>
      <c r="I56" t="s">
        <v>440</v>
      </c>
      <c r="J56" t="s">
        <v>440</v>
      </c>
      <c r="K56" s="9" t="s">
        <v>278</v>
      </c>
      <c r="L56" t="s">
        <v>440</v>
      </c>
      <c r="M56" t="s">
        <v>440</v>
      </c>
      <c r="N56" s="9" t="s">
        <v>278</v>
      </c>
      <c r="O56" t="s">
        <v>440</v>
      </c>
      <c r="P56" t="s">
        <v>440</v>
      </c>
      <c r="Q56" s="9" t="s">
        <v>278</v>
      </c>
      <c r="R56" t="s">
        <v>440</v>
      </c>
      <c r="S56" t="s">
        <v>440</v>
      </c>
      <c r="T56" t="s">
        <v>440</v>
      </c>
      <c r="U56" t="s">
        <v>686</v>
      </c>
      <c r="V56" t="s">
        <v>440</v>
      </c>
      <c r="W56" t="s">
        <v>440</v>
      </c>
      <c r="X56" t="s">
        <v>440</v>
      </c>
      <c r="Y56" t="s">
        <v>720</v>
      </c>
      <c r="Z56" t="s">
        <v>440</v>
      </c>
      <c r="AA56" t="s">
        <v>440</v>
      </c>
      <c r="AB56" t="s">
        <v>724</v>
      </c>
      <c r="AC56" t="s">
        <v>440</v>
      </c>
      <c r="AD56" t="s">
        <v>15</v>
      </c>
    </row>
    <row r="57" spans="2:30" x14ac:dyDescent="0.35">
      <c r="B57" s="105" t="str">
        <f>B36</f>
        <v>Plastics/other C,H,O, N, P, F</v>
      </c>
      <c r="C57" s="9" t="s">
        <v>278</v>
      </c>
      <c r="D57" t="s">
        <v>576</v>
      </c>
      <c r="E57" t="s">
        <v>710</v>
      </c>
      <c r="F57" t="s">
        <v>440</v>
      </c>
      <c r="G57" t="s">
        <v>712</v>
      </c>
      <c r="H57" t="s">
        <v>710</v>
      </c>
      <c r="I57" t="s">
        <v>440</v>
      </c>
      <c r="J57" t="s">
        <v>712</v>
      </c>
      <c r="K57" t="s">
        <v>710</v>
      </c>
      <c r="L57" t="s">
        <v>440</v>
      </c>
      <c r="M57" t="s">
        <v>712</v>
      </c>
      <c r="N57" t="s">
        <v>710</v>
      </c>
      <c r="O57" t="s">
        <v>440</v>
      </c>
      <c r="P57" t="s">
        <v>712</v>
      </c>
      <c r="Q57" t="s">
        <v>710</v>
      </c>
      <c r="R57" t="s">
        <v>440</v>
      </c>
      <c r="S57" t="s">
        <v>712</v>
      </c>
      <c r="T57" t="s">
        <v>710</v>
      </c>
      <c r="U57" t="s">
        <v>440</v>
      </c>
      <c r="V57" t="s">
        <v>712</v>
      </c>
      <c r="W57" t="s">
        <v>710</v>
      </c>
      <c r="X57" t="s">
        <v>710</v>
      </c>
      <c r="Y57" t="s">
        <v>440</v>
      </c>
      <c r="Z57" t="s">
        <v>712</v>
      </c>
      <c r="AA57" t="s">
        <v>710</v>
      </c>
      <c r="AB57" t="s">
        <v>440</v>
      </c>
      <c r="AC57" t="s">
        <v>712</v>
      </c>
      <c r="AD57" t="s">
        <v>15</v>
      </c>
    </row>
    <row r="58" spans="2:30" x14ac:dyDescent="0.35">
      <c r="B58" s="176" t="s">
        <v>292</v>
      </c>
      <c r="E58" t="s">
        <v>440</v>
      </c>
      <c r="F58" t="s">
        <v>440</v>
      </c>
      <c r="H58" t="s">
        <v>440</v>
      </c>
      <c r="I58" t="s">
        <v>440</v>
      </c>
      <c r="K58" t="s">
        <v>440</v>
      </c>
      <c r="L58" t="s">
        <v>440</v>
      </c>
      <c r="N58" t="s">
        <v>440</v>
      </c>
      <c r="O58" t="s">
        <v>440</v>
      </c>
      <c r="Q58" t="s">
        <v>440</v>
      </c>
      <c r="R58" t="s">
        <v>440</v>
      </c>
      <c r="T58" t="s">
        <v>440</v>
      </c>
      <c r="U58" t="s">
        <v>440</v>
      </c>
      <c r="W58" t="s">
        <v>440</v>
      </c>
      <c r="X58" t="s">
        <v>440</v>
      </c>
      <c r="Y58" t="s">
        <v>440</v>
      </c>
      <c r="AA58" t="s">
        <v>440</v>
      </c>
      <c r="AD58" t="s">
        <v>15</v>
      </c>
    </row>
    <row r="59" spans="2:30" x14ac:dyDescent="0.35">
      <c r="B59" s="176" t="s">
        <v>293</v>
      </c>
      <c r="C59" s="248"/>
      <c r="D59" s="248"/>
      <c r="E59" s="250" t="s">
        <v>708</v>
      </c>
      <c r="F59" s="248" t="s">
        <v>15</v>
      </c>
      <c r="G59" s="248"/>
      <c r="H59" s="250" t="s">
        <v>711</v>
      </c>
      <c r="I59" s="248" t="s">
        <v>15</v>
      </c>
      <c r="J59" s="248"/>
      <c r="K59" s="248" t="s">
        <v>713</v>
      </c>
      <c r="L59" s="248" t="s">
        <v>15</v>
      </c>
      <c r="M59" s="248"/>
      <c r="N59" s="250" t="s">
        <v>714</v>
      </c>
      <c r="O59" s="248"/>
      <c r="P59" s="248"/>
      <c r="Q59" s="250" t="s">
        <v>678</v>
      </c>
      <c r="R59" s="248" t="s">
        <v>679</v>
      </c>
      <c r="S59" s="248"/>
      <c r="T59" s="250" t="s">
        <v>678</v>
      </c>
      <c r="U59" s="248" t="s">
        <v>679</v>
      </c>
      <c r="V59" s="248"/>
      <c r="W59" s="248" t="s">
        <v>315</v>
      </c>
      <c r="X59" s="248"/>
      <c r="Y59" s="248"/>
      <c r="Z59" s="248"/>
      <c r="AA59" s="250" t="s">
        <v>432</v>
      </c>
      <c r="AB59" s="248" t="s">
        <v>15</v>
      </c>
      <c r="AC59" s="248"/>
      <c r="AD59" t="s">
        <v>15</v>
      </c>
    </row>
    <row r="60" spans="2:30" x14ac:dyDescent="0.35">
      <c r="B60" s="176" t="s">
        <v>677</v>
      </c>
      <c r="C60" s="248"/>
      <c r="D60" s="248"/>
      <c r="E60" s="248"/>
      <c r="F60" s="248"/>
      <c r="G60" s="248"/>
      <c r="H60" s="248"/>
      <c r="I60" s="248"/>
      <c r="J60" s="248"/>
      <c r="K60" s="248"/>
      <c r="L60" s="248"/>
      <c r="M60" s="248"/>
      <c r="N60" s="248"/>
      <c r="O60" s="248"/>
      <c r="P60" s="248"/>
      <c r="Q60" s="250" t="s">
        <v>678</v>
      </c>
      <c r="R60" s="248" t="s">
        <v>679</v>
      </c>
      <c r="S60" s="248"/>
      <c r="T60" s="250" t="s">
        <v>678</v>
      </c>
      <c r="U60" s="248" t="s">
        <v>679</v>
      </c>
      <c r="V60" s="248"/>
      <c r="W60" s="250" t="s">
        <v>678</v>
      </c>
      <c r="X60" s="248" t="s">
        <v>679</v>
      </c>
      <c r="Y60" s="248"/>
      <c r="Z60" s="248"/>
      <c r="AA60" s="250" t="s">
        <v>678</v>
      </c>
      <c r="AB60" s="248" t="s">
        <v>679</v>
      </c>
      <c r="AC60" s="248"/>
      <c r="AD60" t="s">
        <v>15</v>
      </c>
    </row>
    <row r="61" spans="2:30" x14ac:dyDescent="0.35">
      <c r="B61" s="176" t="s">
        <v>698</v>
      </c>
      <c r="AD61" t="s">
        <v>15</v>
      </c>
    </row>
    <row r="62" spans="2:30" x14ac:dyDescent="0.35">
      <c r="B62" s="176" t="s">
        <v>699</v>
      </c>
      <c r="AD62" t="s">
        <v>15</v>
      </c>
    </row>
    <row r="63" spans="2:30" x14ac:dyDescent="0.35">
      <c r="T63" s="38" t="s">
        <v>876</v>
      </c>
      <c r="AD63" t="s">
        <v>15</v>
      </c>
    </row>
    <row r="64" spans="2:30" x14ac:dyDescent="0.35">
      <c r="B64" s="105" t="s">
        <v>448</v>
      </c>
      <c r="N64" s="9" t="s">
        <v>715</v>
      </c>
      <c r="O64" t="s">
        <v>15</v>
      </c>
      <c r="T64" s="9" t="s">
        <v>875</v>
      </c>
      <c r="U64" t="s">
        <v>15</v>
      </c>
      <c r="AB64" s="9" t="s">
        <v>447</v>
      </c>
      <c r="AD64" t="s">
        <v>15</v>
      </c>
    </row>
    <row r="65" spans="28:30" x14ac:dyDescent="0.35">
      <c r="AB65" t="s">
        <v>449</v>
      </c>
      <c r="AD65" t="s">
        <v>15</v>
      </c>
    </row>
    <row r="66" spans="28:30" x14ac:dyDescent="0.35">
      <c r="AB66" t="s">
        <v>450</v>
      </c>
      <c r="AD66" t="s">
        <v>15</v>
      </c>
    </row>
    <row r="67" spans="28:30" x14ac:dyDescent="0.35">
      <c r="AB67" s="9" t="s">
        <v>451</v>
      </c>
      <c r="AD67" t="s">
        <v>15</v>
      </c>
    </row>
    <row r="68" spans="28:30" x14ac:dyDescent="0.35">
      <c r="AB68" t="s">
        <v>452</v>
      </c>
      <c r="AD68" t="s">
        <v>15</v>
      </c>
    </row>
    <row r="69" spans="28:30" x14ac:dyDescent="0.35">
      <c r="AB69" s="9" t="s">
        <v>453</v>
      </c>
      <c r="AD69" t="s">
        <v>15</v>
      </c>
    </row>
    <row r="70" spans="28:30" x14ac:dyDescent="0.35">
      <c r="AD70" t="s">
        <v>15</v>
      </c>
    </row>
    <row r="71" spans="28:30" x14ac:dyDescent="0.35">
      <c r="AD71" t="s">
        <v>15</v>
      </c>
    </row>
  </sheetData>
  <hyperlinks>
    <hyperlink ref="E44" r:id="rId1" xr:uid="{7140252A-875F-40A3-A436-49F3A47AD657}"/>
    <hyperlink ref="E48" r:id="rId2" xr:uid="{8B9CC4B6-5C7F-4AF1-96F6-36CCAF6A5CB0}"/>
    <hyperlink ref="E49" r:id="rId3" xr:uid="{F974A62C-E2BD-4575-ADF6-4ED09E3988C4}"/>
    <hyperlink ref="E51" r:id="rId4" xr:uid="{EF07B332-5A64-4C57-8A3D-94E871298EEC}"/>
    <hyperlink ref="E54" r:id="rId5" xr:uid="{4023D258-2BA0-4E00-B3AF-019CE0985B04}"/>
    <hyperlink ref="E56" r:id="rId6" xr:uid="{1190E353-4294-4AAB-B5A2-29341605333B}"/>
    <hyperlink ref="E50" r:id="rId7" xr:uid="{A8B39350-B110-465A-8AD6-4DECAD433F54}"/>
    <hyperlink ref="E53" r:id="rId8" xr:uid="{0127ABA9-48C2-4C60-8BA6-7FAB69AC7BC0}"/>
    <hyperlink ref="E55" r:id="rId9" xr:uid="{A55273F4-4A54-4C41-A897-4E242490DE7C}"/>
    <hyperlink ref="H44" r:id="rId10" xr:uid="{A6E80C92-8401-4595-9AFE-71709341C28C}"/>
    <hyperlink ref="H48" r:id="rId11" xr:uid="{3ABB30DF-80A3-4BCB-BB6D-8BBD625CA754}"/>
    <hyperlink ref="H49" r:id="rId12" xr:uid="{58528A56-7C99-45E7-B8D3-4E5D65F43682}"/>
    <hyperlink ref="H51" r:id="rId13" xr:uid="{E697BF53-BD88-49FC-9D8D-65BB52E1EF6F}"/>
    <hyperlink ref="H54" r:id="rId14" xr:uid="{0F177F58-8415-4782-BBDE-A8DE69329017}"/>
    <hyperlink ref="H56" r:id="rId15" xr:uid="{107C52DB-FEFA-485D-B7F3-C16A5955DDEE}"/>
    <hyperlink ref="H50" r:id="rId16" xr:uid="{4E1286EB-4E6F-42E9-94FC-7FF6A84A6141}"/>
    <hyperlink ref="H53" r:id="rId17" xr:uid="{B573CB46-E0D4-4E10-8E0F-C2868DACDCBF}"/>
    <hyperlink ref="H55" r:id="rId18" xr:uid="{1AC8E92B-BFB8-4D19-87BD-84F7BCEC0DD4}"/>
    <hyperlink ref="K44" r:id="rId19" xr:uid="{B85BEB43-68E0-4DB6-9EC9-9A22D55645F9}"/>
    <hyperlink ref="K48" r:id="rId20" xr:uid="{7B752E3B-1908-4156-BB3F-3882F31B33E0}"/>
    <hyperlink ref="K49" r:id="rId21" xr:uid="{5D63C2ED-AA18-49E9-AAAC-E15D1CA3E602}"/>
    <hyperlink ref="K51" r:id="rId22" xr:uid="{B83FA6DC-CC52-45CC-BB18-F3836270CA82}"/>
    <hyperlink ref="K54" r:id="rId23" xr:uid="{E41BA0FA-4360-4F00-90D6-3C957E1BDE80}"/>
    <hyperlink ref="K56" r:id="rId24" xr:uid="{A3F82263-3FFD-4A6A-9C5A-A83F54408D10}"/>
    <hyperlink ref="K50" r:id="rId25" xr:uid="{3B56D4E1-A6C0-447A-AE87-BA057C6467C7}"/>
    <hyperlink ref="K53" r:id="rId26" xr:uid="{24807CB2-931A-40D2-98FC-6DF51234FBFE}"/>
    <hyperlink ref="K55" r:id="rId27" xr:uid="{434A6F8E-7780-4E84-A108-183B94E23BB4}"/>
    <hyperlink ref="N44" r:id="rId28" xr:uid="{9B3A9DCC-9B10-485C-9B37-F693BAD362D1}"/>
    <hyperlink ref="N48" r:id="rId29" xr:uid="{BCCEB220-504F-4D5F-B200-F9CD7D0780C7}"/>
    <hyperlink ref="N49" r:id="rId30" xr:uid="{5293FB84-A0A7-4B2D-A301-88DB85C77D4C}"/>
    <hyperlink ref="N51" r:id="rId31" xr:uid="{D305176A-C392-4293-B8A2-698CE1F64AF1}"/>
    <hyperlink ref="N54" r:id="rId32" xr:uid="{CEABDDEB-D6D4-4482-8490-FBE43A64AADF}"/>
    <hyperlink ref="N56" r:id="rId33" xr:uid="{B14B4C3B-75E4-4389-B951-E491AFEB6988}"/>
    <hyperlink ref="N50" r:id="rId34" xr:uid="{A4220AF7-E093-4A02-A15E-B7EFF096C007}"/>
    <hyperlink ref="N53" r:id="rId35" xr:uid="{9DE1235F-D65B-43C2-9013-9C4EC393944A}"/>
    <hyperlink ref="N55" r:id="rId36" xr:uid="{C172F384-B60F-454B-98EF-38FEFF667E2B}"/>
    <hyperlink ref="Q44" r:id="rId37" xr:uid="{E55EEE6A-DE82-46B7-81B3-9F1AAF1C3334}"/>
    <hyperlink ref="Q48" r:id="rId38" xr:uid="{5FA48C7B-4113-44C8-A0E9-1B1322969FD0}"/>
    <hyperlink ref="Q49" r:id="rId39" xr:uid="{2064CBF6-14D9-4F7A-963F-BF3E5B9F2606}"/>
    <hyperlink ref="Q51" r:id="rId40" xr:uid="{2DACE985-7D41-4B1F-B782-28C6D3FE738A}"/>
    <hyperlink ref="Q54" r:id="rId41" xr:uid="{5F689562-6F8F-4305-8F05-88B5AFCDEC9C}"/>
    <hyperlink ref="Q56" r:id="rId42" xr:uid="{18C2490B-9E9A-4A17-B8C4-8A8DB0BA1F6D}"/>
    <hyperlink ref="Q50" r:id="rId43" xr:uid="{CB8EA5E6-DA11-4A26-9C83-489153F8E316}"/>
    <hyperlink ref="Q53" r:id="rId44" xr:uid="{B1BDC7FB-64EC-4319-B05E-EC38F6F86CFE}"/>
    <hyperlink ref="Q55" r:id="rId45" xr:uid="{F10FC0D9-C2F8-4965-82F9-E88FAE39B740}"/>
    <hyperlink ref="AA59" r:id="rId46" xr:uid="{BF455D1C-ECAD-407A-8380-E6889F3A4C87}"/>
    <hyperlink ref="AB53" r:id="rId47" xr:uid="{0F6589AD-E3EE-4251-BBFE-F0952BBAC8EA}"/>
    <hyperlink ref="AB50" r:id="rId48" xr:uid="{6BD6E3F6-DBE7-45E6-B88C-E65CCEDD1F21}"/>
    <hyperlink ref="AB54" r:id="rId49" xr:uid="{CDE07D3E-FC53-4616-8ACE-F260C7FB2530}"/>
    <hyperlink ref="AB48" r:id="rId50" xr:uid="{7C512E42-00F4-42E4-9167-824FAACA1A13}"/>
    <hyperlink ref="AB49" r:id="rId51" xr:uid="{221A1271-A5EB-4DB9-BE85-C9F7E97E8E56}"/>
    <hyperlink ref="AB55" r:id="rId52" xr:uid="{82A9419A-88F4-41ED-9C88-F6AB09D22510}"/>
    <hyperlink ref="AB51" r:id="rId53" xr:uid="{FD6F5CAC-C8C5-4A6E-A856-8DFE0DF73AFD}"/>
    <hyperlink ref="AB52" r:id="rId54" xr:uid="{CD9DA01D-1EC4-4625-9538-89B538E8EC6C}"/>
    <hyperlink ref="AB64" r:id="rId55" xr:uid="{BBC8DC6D-1DEE-4277-A7B5-64171489BADA}"/>
    <hyperlink ref="AB67" r:id="rId56" xr:uid="{FECB763D-D927-47D6-96FD-27085EC17C1B}"/>
    <hyperlink ref="AB69" r:id="rId57" xr:uid="{453D3F07-C684-4B15-8115-ED65DE45336A}"/>
    <hyperlink ref="AA60" r:id="rId58" xr:uid="{688D515A-0FC4-414B-90EA-89B0038CB5D9}"/>
    <hyperlink ref="Q60" r:id="rId59" xr:uid="{F48BBCEA-BC05-4874-8A9F-DA647245D777}"/>
    <hyperlink ref="W60" r:id="rId60" xr:uid="{381E18B0-8941-4BA8-BCDA-249F5C313DA7}"/>
    <hyperlink ref="E10" r:id="rId61" xr:uid="{F156DDB6-E049-4E4D-AA7B-11B30A267CC7}"/>
    <hyperlink ref="C44" r:id="rId62" xr:uid="{239AE7A0-B578-427A-ADEC-E1EF4A71C034}"/>
    <hyperlink ref="C45:C57" r:id="rId63" display="https://elements.visualcapitalist.com/the-key-minerals-in-an-ev-battery/" xr:uid="{1C66E00F-8FCC-42D0-8596-DA26C167BF61}"/>
    <hyperlink ref="D52" r:id="rId64" xr:uid="{37830FA1-20E1-4AE9-94C8-4EEE96454A0C}"/>
    <hyperlink ref="E59" r:id="rId65" xr:uid="{2AB754F7-DEDD-4BE3-B78D-B138A6F58FE7}"/>
    <hyperlink ref="H59" r:id="rId66" xr:uid="{0721A821-F70E-4D4C-A6ED-F37576B1E9DD}"/>
    <hyperlink ref="N59" r:id="rId67" xr:uid="{2DF4DF8B-D065-4112-9A0C-415C6C0D0D96}"/>
    <hyperlink ref="N64" r:id="rId68" xr:uid="{785437E7-8022-498D-BA93-3A808C23054A}"/>
    <hyperlink ref="Q59" r:id="rId69" xr:uid="{8F2CC64B-64EB-4AC9-B5B4-7A8DD5501A72}"/>
    <hyperlink ref="T60" r:id="rId70" xr:uid="{55436FFF-886B-4C8B-B2D9-0633A58DB5EB}"/>
    <hyperlink ref="T59" r:id="rId71" xr:uid="{864EA260-195F-4544-A762-E0B1C28F3369}"/>
    <hyperlink ref="Y50" r:id="rId72" xr:uid="{2B403B74-33AB-48C8-872D-064DC47CD49B}"/>
    <hyperlink ref="Y55" r:id="rId73" location=":~:text=Average%20ICEs%20contain%2018%2D49%20pounds%20of%20copper" xr:uid="{9C46D19E-0120-41EB-8276-FCCE6117DA2D}"/>
    <hyperlink ref="AF35" r:id="rId74" xr:uid="{674550A6-E78B-4A79-B33B-E7E772AC024A}"/>
    <hyperlink ref="AF34" r:id="rId75" xr:uid="{FBD9F2CB-2B4E-47F4-8B61-32ECB5BCDE14}"/>
    <hyperlink ref="AF37" r:id="rId76" xr:uid="{133A1771-8FB3-46A5-BEFF-F940CD5016F6}"/>
    <hyperlink ref="T64" r:id="rId77" xr:uid="{323E1443-A4C7-4137-B5F5-5728C4E5B371}"/>
    <hyperlink ref="AO25" r:id="rId78" xr:uid="{FCE7583C-45AF-4933-A192-0D852A46F577}"/>
    <hyperlink ref="AO26" r:id="rId79" xr:uid="{AE8F1095-8D9C-465B-A89D-169D9B8E415D}"/>
  </hyperlinks>
  <pageMargins left="0.7" right="0.7" top="0.75" bottom="0.75" header="0.3" footer="0.3"/>
  <pageSetup orientation="portrait" r:id="rId8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"/>
  <sheetViews>
    <sheetView workbookViewId="0">
      <selection activeCell="C26" sqref="C26"/>
    </sheetView>
  </sheetViews>
  <sheetFormatPr defaultRowHeight="14.5" x14ac:dyDescent="0.35"/>
  <cols>
    <col min="2" max="2" width="23.6328125" customWidth="1"/>
    <col min="3" max="3" width="24.08984375" customWidth="1"/>
    <col min="4" max="4" width="25.08984375" customWidth="1"/>
    <col min="5" max="5" width="23.54296875" customWidth="1"/>
    <col min="6" max="6" width="25.08984375" customWidth="1"/>
    <col min="7" max="7" width="25.6328125" customWidth="1"/>
  </cols>
  <sheetData>
    <row r="1" spans="1:9" ht="28.5" x14ac:dyDescent="0.65">
      <c r="A1" s="2" t="str">
        <f>RawMaterialsBEV!A1</f>
        <v>Batteries - In debt cost and scalability analysis #22</v>
      </c>
    </row>
    <row r="3" spans="1:9" ht="15.5" x14ac:dyDescent="0.35">
      <c r="A3" s="1" t="str">
        <f>RawMaterialsBEV!A3</f>
        <v>Proprietary. © H. Mathiesen. This material can be used by others free of charge provided that the author H. Mathiesen is attributed and a clickable link is made visible to the location of used material on www.hmexperience.dk</v>
      </c>
    </row>
    <row r="4" spans="1:9" ht="15.5" x14ac:dyDescent="0.35">
      <c r="A4" s="1" t="str">
        <f>RawMaterialsBEV!A4</f>
        <v>Sources to all information used in this spreadsheet can also be found in associated PowerPoint presentation located also at www.hmexperience.dk</v>
      </c>
    </row>
    <row r="6" spans="1:9" ht="21" x14ac:dyDescent="0.5">
      <c r="B6" s="11" t="s">
        <v>468</v>
      </c>
    </row>
    <row r="7" spans="1:9" ht="7.5" customHeight="1" thickBot="1" x14ac:dyDescent="0.4"/>
    <row r="8" spans="1:9" ht="15" thickTop="1" x14ac:dyDescent="0.35">
      <c r="B8" s="53" t="s">
        <v>64</v>
      </c>
      <c r="C8" s="42" t="s">
        <v>67</v>
      </c>
      <c r="D8" s="42"/>
      <c r="E8" s="43" t="s">
        <v>66</v>
      </c>
      <c r="F8" s="44"/>
    </row>
    <row r="9" spans="1:9" x14ac:dyDescent="0.35">
      <c r="B9" s="54" t="s">
        <v>65</v>
      </c>
      <c r="C9" s="4" t="s">
        <v>68</v>
      </c>
      <c r="D9" s="4" t="s">
        <v>69</v>
      </c>
      <c r="E9" s="4" t="s">
        <v>68</v>
      </c>
      <c r="F9" s="45" t="s">
        <v>69</v>
      </c>
    </row>
    <row r="10" spans="1:9" x14ac:dyDescent="0.35">
      <c r="B10" s="55"/>
      <c r="F10" s="21"/>
    </row>
    <row r="11" spans="1:9" x14ac:dyDescent="0.35">
      <c r="B11" s="54" t="s">
        <v>74</v>
      </c>
      <c r="C11" s="61">
        <v>23</v>
      </c>
      <c r="D11" s="61">
        <v>3</v>
      </c>
      <c r="E11" s="61">
        <v>23</v>
      </c>
      <c r="F11" s="62">
        <v>3</v>
      </c>
    </row>
    <row r="12" spans="1:9" x14ac:dyDescent="0.35">
      <c r="B12" s="54" t="s">
        <v>70</v>
      </c>
      <c r="C12" s="61" t="s">
        <v>77</v>
      </c>
      <c r="D12" s="61" t="s">
        <v>78</v>
      </c>
      <c r="E12" s="61" t="s">
        <v>77</v>
      </c>
      <c r="F12" s="62" t="s">
        <v>78</v>
      </c>
      <c r="H12">
        <v>900</v>
      </c>
      <c r="I12" s="46" t="s">
        <v>84</v>
      </c>
    </row>
    <row r="13" spans="1:9" x14ac:dyDescent="0.35">
      <c r="B13" s="54" t="s">
        <v>75</v>
      </c>
      <c r="C13" s="46">
        <v>25</v>
      </c>
      <c r="D13" s="57">
        <f>C13*(1-H15)</f>
        <v>11.111111111111111</v>
      </c>
      <c r="E13" s="46">
        <v>25</v>
      </c>
      <c r="F13" s="56">
        <f>D13</f>
        <v>11.111111111111111</v>
      </c>
      <c r="H13">
        <v>400</v>
      </c>
      <c r="I13" t="s">
        <v>84</v>
      </c>
    </row>
    <row r="14" spans="1:9" x14ac:dyDescent="0.35">
      <c r="B14" s="54" t="s">
        <v>71</v>
      </c>
      <c r="C14" s="46" t="s">
        <v>82</v>
      </c>
      <c r="D14" s="46" t="s">
        <v>79</v>
      </c>
      <c r="E14" s="46" t="s">
        <v>82</v>
      </c>
      <c r="F14" s="47" t="s">
        <v>79</v>
      </c>
      <c r="H14" s="60" t="s">
        <v>469</v>
      </c>
    </row>
    <row r="15" spans="1:9" x14ac:dyDescent="0.35">
      <c r="B15" s="54" t="s">
        <v>80</v>
      </c>
      <c r="C15" s="61" t="s">
        <v>15</v>
      </c>
      <c r="D15" s="61" t="s">
        <v>15</v>
      </c>
      <c r="E15" s="61">
        <v>40</v>
      </c>
      <c r="F15" s="63">
        <f>D13</f>
        <v>11.111111111111111</v>
      </c>
      <c r="H15" s="8">
        <f>1-H13/H12</f>
        <v>0.55555555555555558</v>
      </c>
    </row>
    <row r="16" spans="1:9" x14ac:dyDescent="0.35">
      <c r="B16" s="54" t="s">
        <v>72</v>
      </c>
      <c r="C16" s="61" t="s">
        <v>15</v>
      </c>
      <c r="D16" s="61" t="s">
        <v>15</v>
      </c>
      <c r="E16" s="61" t="s">
        <v>83</v>
      </c>
      <c r="F16" s="62" t="s">
        <v>79</v>
      </c>
    </row>
    <row r="17" spans="2:6" x14ac:dyDescent="0.35">
      <c r="B17" s="54" t="s">
        <v>81</v>
      </c>
      <c r="C17" s="46">
        <v>42</v>
      </c>
      <c r="D17" s="46">
        <v>42</v>
      </c>
      <c r="E17" s="46">
        <v>42</v>
      </c>
      <c r="F17" s="47">
        <v>42</v>
      </c>
    </row>
    <row r="18" spans="2:6" x14ac:dyDescent="0.35">
      <c r="B18" s="54" t="s">
        <v>76</v>
      </c>
      <c r="C18" s="48">
        <f>C11+C13+C17</f>
        <v>90</v>
      </c>
      <c r="D18" s="58">
        <f>D11+D13+D17</f>
        <v>56.111111111111114</v>
      </c>
      <c r="E18" s="48">
        <f>E11+E13+E15+E17</f>
        <v>130</v>
      </c>
      <c r="F18" s="59">
        <f>F11+F13+F15+F17</f>
        <v>67.222222222222229</v>
      </c>
    </row>
    <row r="19" spans="2:6" ht="15" thickBot="1" x14ac:dyDescent="0.4">
      <c r="B19" s="64" t="s">
        <v>73</v>
      </c>
      <c r="C19" s="49"/>
      <c r="D19" s="50">
        <f>(C18-D18)/C18</f>
        <v>0.37654320987654316</v>
      </c>
      <c r="E19" s="51"/>
      <c r="F19" s="52">
        <f>(E18-F18)/E18</f>
        <v>0.48290598290598286</v>
      </c>
    </row>
    <row r="20" spans="2:6" ht="15" thickTop="1" x14ac:dyDescent="0.35"/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BD848-222B-4B11-ADBF-B4C580882985}">
  <dimension ref="A1:E22"/>
  <sheetViews>
    <sheetView workbookViewId="0">
      <selection activeCell="B7" sqref="B7"/>
    </sheetView>
  </sheetViews>
  <sheetFormatPr defaultRowHeight="14.5" x14ac:dyDescent="0.35"/>
  <cols>
    <col min="3" max="3" width="17.453125" customWidth="1"/>
    <col min="4" max="4" width="16.08984375" customWidth="1"/>
    <col min="5" max="5" width="11.08984375" customWidth="1"/>
  </cols>
  <sheetData>
    <row r="1" spans="1:5" ht="28.5" x14ac:dyDescent="0.65">
      <c r="A1" s="2" t="str">
        <f>RawMaterialsBEV!A1</f>
        <v>Batteries - In debt cost and scalability analysis #22</v>
      </c>
    </row>
    <row r="3" spans="1:5" ht="15.5" x14ac:dyDescent="0.35">
      <c r="A3" s="1" t="str">
        <f>RawMaterialsBEV!A3</f>
        <v>Proprietary. © H. Mathiesen. This material can be used by others free of charge provided that the author H. Mathiesen is attributed and a clickable link is made visible to the location of used material on www.hmexperience.dk</v>
      </c>
    </row>
    <row r="4" spans="1:5" ht="15.5" x14ac:dyDescent="0.35">
      <c r="A4" s="1" t="str">
        <f>RawMaterialsBEV!A4</f>
        <v>Sources to all information used in this spreadsheet can also be found in associated PowerPoint presentation located also at www.hmexperience.dk</v>
      </c>
    </row>
    <row r="7" spans="1:5" ht="15.5" x14ac:dyDescent="0.35">
      <c r="B7" s="107" t="s">
        <v>129</v>
      </c>
      <c r="C7" s="4"/>
      <c r="D7" s="4"/>
    </row>
    <row r="8" spans="1:5" ht="5" customHeight="1" x14ac:dyDescent="0.35">
      <c r="B8" s="4"/>
      <c r="C8" s="4"/>
      <c r="D8" s="4"/>
    </row>
    <row r="9" spans="1:5" x14ac:dyDescent="0.35">
      <c r="B9" s="66" t="s">
        <v>91</v>
      </c>
      <c r="C9" s="66" t="s">
        <v>92</v>
      </c>
      <c r="D9" s="66" t="s">
        <v>93</v>
      </c>
      <c r="E9" s="66" t="s">
        <v>94</v>
      </c>
    </row>
    <row r="11" spans="1:5" x14ac:dyDescent="0.35">
      <c r="B11" s="70">
        <v>2016</v>
      </c>
      <c r="C11" s="71">
        <v>38000</v>
      </c>
      <c r="D11" s="72"/>
      <c r="E11" s="72"/>
    </row>
    <row r="12" spans="1:5" x14ac:dyDescent="0.35">
      <c r="B12" s="70">
        <v>2022</v>
      </c>
      <c r="C12" s="71">
        <v>130000</v>
      </c>
      <c r="D12" s="73">
        <f>((C12/C11)^(1/(B12-B11)))-1</f>
        <v>0.22751448593776358</v>
      </c>
      <c r="E12" s="75">
        <v>1</v>
      </c>
    </row>
    <row r="13" spans="1:5" x14ac:dyDescent="0.35">
      <c r="B13" s="67">
        <v>2023</v>
      </c>
      <c r="C13" s="68">
        <f>C12*(1+D13)</f>
        <v>163800</v>
      </c>
      <c r="D13" s="69">
        <v>0.26</v>
      </c>
      <c r="E13" s="74">
        <f>C13/C$12</f>
        <v>1.26</v>
      </c>
    </row>
    <row r="14" spans="1:5" x14ac:dyDescent="0.35">
      <c r="B14" s="67">
        <v>2024</v>
      </c>
      <c r="C14" s="68">
        <f>C13*(1+D14)</f>
        <v>206388</v>
      </c>
      <c r="D14" s="69">
        <f>D13</f>
        <v>0.26</v>
      </c>
      <c r="E14" s="74">
        <f t="shared" ref="E14:E22" si="0">C14/C$12</f>
        <v>1.5875999999999999</v>
      </c>
    </row>
    <row r="15" spans="1:5" x14ac:dyDescent="0.35">
      <c r="B15" s="67">
        <v>2025</v>
      </c>
      <c r="C15" s="68">
        <f t="shared" ref="C15:C22" si="1">C14*(1+D15)</f>
        <v>260048.88</v>
      </c>
      <c r="D15" s="69">
        <f t="shared" ref="D15:D22" si="2">D14</f>
        <v>0.26</v>
      </c>
      <c r="E15" s="74">
        <f t="shared" si="0"/>
        <v>2.0003760000000002</v>
      </c>
    </row>
    <row r="16" spans="1:5" x14ac:dyDescent="0.35">
      <c r="B16" s="67">
        <v>2026</v>
      </c>
      <c r="C16" s="68">
        <f t="shared" si="1"/>
        <v>327661.58880000003</v>
      </c>
      <c r="D16" s="69">
        <f t="shared" si="2"/>
        <v>0.26</v>
      </c>
      <c r="E16" s="74">
        <f t="shared" si="0"/>
        <v>2.5204737600000002</v>
      </c>
    </row>
    <row r="17" spans="2:5" x14ac:dyDescent="0.35">
      <c r="B17" s="67">
        <v>2027</v>
      </c>
      <c r="C17" s="68">
        <f t="shared" si="1"/>
        <v>412853.60188800003</v>
      </c>
      <c r="D17" s="69">
        <f t="shared" si="2"/>
        <v>0.26</v>
      </c>
      <c r="E17" s="74">
        <f t="shared" si="0"/>
        <v>3.1757969376000004</v>
      </c>
    </row>
    <row r="18" spans="2:5" x14ac:dyDescent="0.35">
      <c r="B18" s="67">
        <v>2028</v>
      </c>
      <c r="C18" s="68">
        <f t="shared" si="1"/>
        <v>520195.53837888007</v>
      </c>
      <c r="D18" s="69">
        <f t="shared" si="2"/>
        <v>0.26</v>
      </c>
      <c r="E18" s="74">
        <f t="shared" si="0"/>
        <v>4.0015041413760004</v>
      </c>
    </row>
    <row r="19" spans="2:5" x14ac:dyDescent="0.35">
      <c r="B19" s="67">
        <v>2029</v>
      </c>
      <c r="C19" s="68">
        <f t="shared" si="1"/>
        <v>655446.37835738889</v>
      </c>
      <c r="D19" s="69">
        <f t="shared" si="2"/>
        <v>0.26</v>
      </c>
      <c r="E19" s="74">
        <f t="shared" si="0"/>
        <v>5.0418952181337611</v>
      </c>
    </row>
    <row r="20" spans="2:5" x14ac:dyDescent="0.35">
      <c r="B20" s="67">
        <v>2030</v>
      </c>
      <c r="C20" s="68">
        <f t="shared" si="1"/>
        <v>825862.43673030997</v>
      </c>
      <c r="D20" s="69">
        <f t="shared" si="2"/>
        <v>0.26</v>
      </c>
      <c r="E20" s="74">
        <f t="shared" si="0"/>
        <v>6.3527879748485381</v>
      </c>
    </row>
    <row r="21" spans="2:5" x14ac:dyDescent="0.35">
      <c r="B21" s="67">
        <v>2031</v>
      </c>
      <c r="C21" s="68">
        <f t="shared" si="1"/>
        <v>1040586.6702801905</v>
      </c>
      <c r="D21" s="69">
        <f t="shared" si="2"/>
        <v>0.26</v>
      </c>
      <c r="E21" s="74">
        <f t="shared" si="0"/>
        <v>8.0045128483091581</v>
      </c>
    </row>
    <row r="22" spans="2:5" x14ac:dyDescent="0.35">
      <c r="B22" s="67">
        <v>2032</v>
      </c>
      <c r="C22" s="68">
        <f t="shared" si="1"/>
        <v>1311139.20455304</v>
      </c>
      <c r="D22" s="69">
        <f t="shared" si="2"/>
        <v>0.26</v>
      </c>
      <c r="E22" s="74">
        <f t="shared" si="0"/>
        <v>10.085686188869538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CBBA0-5960-4C58-81FB-2D2DE19F0E28}">
  <dimension ref="A1:L41"/>
  <sheetViews>
    <sheetView topLeftCell="A3" workbookViewId="0">
      <selection activeCell="C9" sqref="C9:I39"/>
    </sheetView>
  </sheetViews>
  <sheetFormatPr defaultRowHeight="14.5" x14ac:dyDescent="0.35"/>
  <cols>
    <col min="3" max="3" width="28.1796875" customWidth="1"/>
    <col min="4" max="4" width="9.81640625" customWidth="1"/>
    <col min="5" max="5" width="9.1796875" customWidth="1"/>
    <col min="6" max="6" width="12" customWidth="1"/>
    <col min="7" max="7" width="8.90625" customWidth="1"/>
    <col min="8" max="8" width="12.1796875" customWidth="1"/>
  </cols>
  <sheetData>
    <row r="1" spans="1:12" ht="28.5" x14ac:dyDescent="0.65">
      <c r="A1" s="2" t="str">
        <f>RawMaterialsBEV!A1</f>
        <v>Batteries - In debt cost and scalability analysis #22</v>
      </c>
    </row>
    <row r="3" spans="1:12" ht="15.5" x14ac:dyDescent="0.35">
      <c r="A3" s="1" t="str">
        <f>RawMaterialsBEV!A3</f>
        <v>Proprietary. © H. Mathiesen. This material can be used by others free of charge provided that the author H. Mathiesen is attributed and a clickable link is made visible to the location of used material on www.hmexperience.dk</v>
      </c>
    </row>
    <row r="4" spans="1:12" ht="15.5" x14ac:dyDescent="0.35">
      <c r="A4" s="1" t="str">
        <f>RawMaterialsBEV!A4</f>
        <v>Sources to all information used in this spreadsheet can also be found in associated PowerPoint presentation located also at www.hmexperience.dk</v>
      </c>
    </row>
    <row r="5" spans="1:12" ht="15.5" x14ac:dyDescent="0.35">
      <c r="A5" s="1"/>
    </row>
    <row r="6" spans="1:12" ht="15.5" x14ac:dyDescent="0.35">
      <c r="A6" s="1"/>
    </row>
    <row r="9" spans="1:12" ht="19" thickBot="1" x14ac:dyDescent="0.5">
      <c r="C9" s="118" t="s">
        <v>121</v>
      </c>
      <c r="D9" s="116"/>
      <c r="E9" s="116"/>
      <c r="F9" s="116"/>
      <c r="G9" s="116"/>
      <c r="H9" s="116"/>
      <c r="I9" s="116"/>
      <c r="L9" t="s">
        <v>4</v>
      </c>
    </row>
    <row r="10" spans="1:12" ht="15" thickTop="1" x14ac:dyDescent="0.35">
      <c r="C10" s="121" t="s">
        <v>122</v>
      </c>
      <c r="D10" s="122" t="s">
        <v>95</v>
      </c>
      <c r="E10" s="122" t="s">
        <v>124</v>
      </c>
      <c r="F10" s="122" t="s">
        <v>125</v>
      </c>
      <c r="G10" s="122" t="s">
        <v>124</v>
      </c>
      <c r="H10" s="122" t="s">
        <v>123</v>
      </c>
      <c r="I10" s="123" t="s">
        <v>124</v>
      </c>
      <c r="L10">
        <v>2020</v>
      </c>
    </row>
    <row r="11" spans="1:12" x14ac:dyDescent="0.35">
      <c r="C11" s="367"/>
      <c r="D11" s="368"/>
      <c r="E11" s="368"/>
      <c r="F11" s="368"/>
      <c r="G11" s="368"/>
      <c r="H11" s="368"/>
      <c r="I11" s="369"/>
    </row>
    <row r="12" spans="1:12" x14ac:dyDescent="0.35">
      <c r="C12" s="54" t="s">
        <v>96</v>
      </c>
      <c r="D12" s="5">
        <v>6200</v>
      </c>
      <c r="E12" s="8">
        <f>D12/D$36</f>
        <v>7.4635849283736608E-2</v>
      </c>
      <c r="F12" s="5">
        <v>1900000</v>
      </c>
      <c r="G12" s="8">
        <f>F12/F$36</f>
        <v>7.644337155501911E-2</v>
      </c>
      <c r="H12" s="5">
        <v>19300000</v>
      </c>
      <c r="I12" s="20">
        <f>H12/H$36</f>
        <v>0.21113663712941691</v>
      </c>
    </row>
    <row r="13" spans="1:12" x14ac:dyDescent="0.35">
      <c r="C13" s="54" t="s">
        <v>97</v>
      </c>
      <c r="D13" s="5">
        <v>40000</v>
      </c>
      <c r="E13" s="8">
        <f t="shared" ref="E13:E35" si="0">D13/D$36</f>
        <v>0.48152160828217166</v>
      </c>
      <c r="F13" s="5">
        <v>4700000</v>
      </c>
      <c r="G13" s="8">
        <f t="shared" ref="G13" si="1">F13/F$36</f>
        <v>0.18909676121504729</v>
      </c>
      <c r="H13" s="5">
        <v>6400000</v>
      </c>
      <c r="I13" s="20">
        <f t="shared" ref="I13:I35" si="2">H13/H$36</f>
        <v>7.0014221638770371E-2</v>
      </c>
      <c r="L13" t="s">
        <v>692</v>
      </c>
    </row>
    <row r="14" spans="1:12" x14ac:dyDescent="0.35">
      <c r="C14" s="54" t="s">
        <v>98</v>
      </c>
      <c r="D14" s="177" t="s">
        <v>15</v>
      </c>
      <c r="E14" s="177" t="s">
        <v>15</v>
      </c>
      <c r="F14" s="177" t="s">
        <v>15</v>
      </c>
      <c r="G14" s="177" t="s">
        <v>15</v>
      </c>
      <c r="H14" s="5">
        <v>50000</v>
      </c>
      <c r="I14" s="20">
        <f t="shared" si="2"/>
        <v>5.4698610655289353E-4</v>
      </c>
      <c r="L14">
        <v>5.3</v>
      </c>
    </row>
    <row r="15" spans="1:12" x14ac:dyDescent="0.35">
      <c r="C15" s="54" t="s">
        <v>99</v>
      </c>
      <c r="D15" s="372" t="s">
        <v>15</v>
      </c>
      <c r="E15" s="372" t="s">
        <v>15</v>
      </c>
      <c r="F15" s="372" t="s">
        <v>15</v>
      </c>
      <c r="G15" s="372" t="s">
        <v>15</v>
      </c>
      <c r="H15" s="135">
        <v>21000000</v>
      </c>
      <c r="I15" s="137">
        <f t="shared" si="2"/>
        <v>0.22973416475221528</v>
      </c>
      <c r="L15" t="s">
        <v>86</v>
      </c>
    </row>
    <row r="16" spans="1:12" x14ac:dyDescent="0.35">
      <c r="C16" s="54" t="s">
        <v>100</v>
      </c>
      <c r="D16" s="179">
        <v>1900</v>
      </c>
      <c r="E16" s="213">
        <f t="shared" si="0"/>
        <v>2.2872276393403154E-2</v>
      </c>
      <c r="F16" s="179">
        <v>95000</v>
      </c>
      <c r="G16" s="213">
        <f t="shared" ref="G16" si="3">F16/F$36</f>
        <v>3.8221685777509555E-3</v>
      </c>
      <c r="H16" s="5">
        <v>470000</v>
      </c>
      <c r="I16" s="20">
        <f t="shared" si="2"/>
        <v>5.1416694015971997E-3</v>
      </c>
      <c r="L16" s="9" t="s">
        <v>87</v>
      </c>
    </row>
    <row r="17" spans="3:9" x14ac:dyDescent="0.35">
      <c r="C17" s="54" t="s">
        <v>101</v>
      </c>
      <c r="D17" s="177">
        <v>0</v>
      </c>
      <c r="E17" s="213">
        <f t="shared" si="0"/>
        <v>0</v>
      </c>
      <c r="F17" s="179">
        <v>530000</v>
      </c>
      <c r="G17" s="213">
        <f t="shared" ref="G17" si="4">F17/F$36</f>
        <v>2.132367732850533E-2</v>
      </c>
      <c r="H17" s="5">
        <v>2900000</v>
      </c>
      <c r="I17" s="20">
        <f t="shared" si="2"/>
        <v>3.1725194180067827E-2</v>
      </c>
    </row>
    <row r="18" spans="3:9" x14ac:dyDescent="0.35">
      <c r="C18" s="54" t="s">
        <v>102</v>
      </c>
      <c r="D18" s="179">
        <v>18000</v>
      </c>
      <c r="E18" s="213">
        <f t="shared" si="0"/>
        <v>0.21668472372697725</v>
      </c>
      <c r="F18" s="179">
        <v>9200000</v>
      </c>
      <c r="G18" s="213">
        <f t="shared" ref="G18" si="5">F18/F$36</f>
        <v>0.37014685174009254</v>
      </c>
      <c r="H18" s="5">
        <v>9600000</v>
      </c>
      <c r="I18" s="20">
        <f t="shared" si="2"/>
        <v>0.10502133245815556</v>
      </c>
    </row>
    <row r="19" spans="3:9" x14ac:dyDescent="0.35">
      <c r="C19" s="54" t="s">
        <v>103</v>
      </c>
      <c r="D19" s="178">
        <v>14000</v>
      </c>
      <c r="E19" s="373">
        <f t="shared" si="0"/>
        <v>0.16853256289876009</v>
      </c>
      <c r="F19" s="178">
        <v>1500000</v>
      </c>
      <c r="G19" s="373">
        <f t="shared" ref="G19" si="6">F19/F$36</f>
        <v>6.0350030175015085E-2</v>
      </c>
      <c r="H19" s="135">
        <v>5100000</v>
      </c>
      <c r="I19" s="137">
        <f t="shared" si="2"/>
        <v>5.5792582868395141E-2</v>
      </c>
    </row>
    <row r="20" spans="3:9" x14ac:dyDescent="0.35">
      <c r="C20" s="54" t="s">
        <v>104</v>
      </c>
      <c r="D20" s="177" t="s">
        <v>15</v>
      </c>
      <c r="E20" s="177" t="s">
        <v>15</v>
      </c>
      <c r="F20" s="177"/>
      <c r="G20" s="177" t="s">
        <v>15</v>
      </c>
      <c r="H20" s="5">
        <v>1300000</v>
      </c>
      <c r="I20" s="20">
        <f t="shared" si="2"/>
        <v>1.4221638770375232E-2</v>
      </c>
    </row>
    <row r="21" spans="3:9" x14ac:dyDescent="0.35">
      <c r="C21" s="54" t="s">
        <v>105</v>
      </c>
      <c r="D21" s="372" t="s">
        <v>15</v>
      </c>
      <c r="E21" s="372" t="s">
        <v>15</v>
      </c>
      <c r="F21" s="372" t="s">
        <v>15</v>
      </c>
      <c r="G21" s="372" t="s">
        <v>15</v>
      </c>
      <c r="H21" s="135">
        <v>3000000</v>
      </c>
      <c r="I21" s="137">
        <f t="shared" si="2"/>
        <v>3.2819166393173616E-2</v>
      </c>
    </row>
    <row r="22" spans="3:9" x14ac:dyDescent="0.35">
      <c r="C22" s="54" t="s">
        <v>106</v>
      </c>
      <c r="D22" s="177" t="s">
        <v>15</v>
      </c>
      <c r="E22" s="177" t="s">
        <v>15</v>
      </c>
      <c r="F22" s="177" t="s">
        <v>15</v>
      </c>
      <c r="G22" s="177" t="s">
        <v>15</v>
      </c>
      <c r="H22" s="5">
        <v>50000</v>
      </c>
      <c r="I22" s="20">
        <f t="shared" si="2"/>
        <v>5.4698610655289353E-4</v>
      </c>
    </row>
    <row r="23" spans="3:9" x14ac:dyDescent="0.35">
      <c r="C23" s="54" t="s">
        <v>107</v>
      </c>
      <c r="D23" s="177" t="s">
        <v>15</v>
      </c>
      <c r="E23" s="177" t="s">
        <v>15</v>
      </c>
      <c r="F23" s="177" t="s">
        <v>15</v>
      </c>
      <c r="G23" s="177" t="s">
        <v>15</v>
      </c>
      <c r="H23" s="5">
        <v>2700000</v>
      </c>
      <c r="I23" s="20">
        <f t="shared" si="2"/>
        <v>2.9537249753856253E-2</v>
      </c>
    </row>
    <row r="24" spans="3:9" x14ac:dyDescent="0.35">
      <c r="C24" s="54" t="s">
        <v>108</v>
      </c>
      <c r="D24" s="177" t="s">
        <v>15</v>
      </c>
      <c r="E24" s="177" t="s">
        <v>15</v>
      </c>
      <c r="F24" s="177" t="s">
        <v>15</v>
      </c>
      <c r="G24" s="177" t="s">
        <v>15</v>
      </c>
      <c r="H24" s="5">
        <v>90000</v>
      </c>
      <c r="I24" s="20">
        <f t="shared" si="2"/>
        <v>9.8457499179520846E-4</v>
      </c>
    </row>
    <row r="25" spans="3:9" x14ac:dyDescent="0.35">
      <c r="C25" s="54" t="s">
        <v>109</v>
      </c>
      <c r="D25" s="177" t="s">
        <v>15</v>
      </c>
      <c r="E25" s="177" t="s">
        <v>15</v>
      </c>
      <c r="F25" s="179">
        <v>5900000</v>
      </c>
      <c r="G25" s="213">
        <f t="shared" ref="G25" si="7">F25/F$36</f>
        <v>0.23737678535505935</v>
      </c>
      <c r="H25" s="5">
        <v>5900000</v>
      </c>
      <c r="I25" s="20">
        <f t="shared" si="2"/>
        <v>6.4544360573241435E-2</v>
      </c>
    </row>
    <row r="26" spans="3:9" x14ac:dyDescent="0.35">
      <c r="C26" s="54" t="s">
        <v>110</v>
      </c>
      <c r="D26" s="177" t="s">
        <v>15</v>
      </c>
      <c r="E26" s="177" t="s">
        <v>15</v>
      </c>
      <c r="F26" s="177" t="s">
        <v>15</v>
      </c>
      <c r="G26" s="177" t="s">
        <v>15</v>
      </c>
      <c r="H26" s="5">
        <v>50000</v>
      </c>
      <c r="I26" s="20">
        <f t="shared" si="2"/>
        <v>5.4698610655289353E-4</v>
      </c>
    </row>
    <row r="27" spans="3:9" x14ac:dyDescent="0.35">
      <c r="C27" s="54" t="s">
        <v>111</v>
      </c>
      <c r="D27" s="177" t="s">
        <v>15</v>
      </c>
      <c r="E27" s="177" t="s">
        <v>15</v>
      </c>
      <c r="F27" s="177" t="s">
        <v>15</v>
      </c>
      <c r="G27" s="177" t="s">
        <v>15</v>
      </c>
      <c r="H27" s="5">
        <v>700000</v>
      </c>
      <c r="I27" s="20">
        <f t="shared" si="2"/>
        <v>7.6578054917405096E-3</v>
      </c>
    </row>
    <row r="28" spans="3:9" x14ac:dyDescent="0.35">
      <c r="C28" s="54" t="s">
        <v>112</v>
      </c>
      <c r="D28" s="177" t="s">
        <v>15</v>
      </c>
      <c r="E28" s="177" t="s">
        <v>15</v>
      </c>
      <c r="F28" s="177" t="s">
        <v>15</v>
      </c>
      <c r="G28" s="177" t="s">
        <v>15</v>
      </c>
      <c r="H28" s="5">
        <v>1700000</v>
      </c>
      <c r="I28" s="20">
        <f t="shared" si="2"/>
        <v>1.8597527622798381E-2</v>
      </c>
    </row>
    <row r="29" spans="3:9" x14ac:dyDescent="0.35">
      <c r="C29" s="54" t="s">
        <v>113</v>
      </c>
      <c r="D29" s="177" t="s">
        <v>15</v>
      </c>
      <c r="E29" s="177" t="s">
        <v>15</v>
      </c>
      <c r="F29" s="177" t="s">
        <v>15</v>
      </c>
      <c r="G29" s="177" t="s">
        <v>15</v>
      </c>
      <c r="H29" s="5">
        <v>50000</v>
      </c>
      <c r="I29" s="20">
        <f t="shared" si="2"/>
        <v>5.4698610655289353E-4</v>
      </c>
    </row>
    <row r="30" spans="3:9" x14ac:dyDescent="0.35">
      <c r="C30" s="54" t="s">
        <v>114</v>
      </c>
      <c r="D30" s="177" t="s">
        <v>15</v>
      </c>
      <c r="E30" s="177" t="s">
        <v>15</v>
      </c>
      <c r="F30" s="177" t="s">
        <v>15</v>
      </c>
      <c r="G30" s="177" t="s">
        <v>15</v>
      </c>
      <c r="H30" s="5">
        <v>880000</v>
      </c>
      <c r="I30" s="20">
        <f t="shared" si="2"/>
        <v>9.6269554753309269E-3</v>
      </c>
    </row>
    <row r="31" spans="3:9" x14ac:dyDescent="0.35">
      <c r="C31" s="54" t="s">
        <v>115</v>
      </c>
      <c r="D31" s="177">
        <v>900</v>
      </c>
      <c r="E31" s="213">
        <f t="shared" si="0"/>
        <v>1.0834236186348862E-2</v>
      </c>
      <c r="F31" s="179">
        <v>60000</v>
      </c>
      <c r="G31" s="213">
        <f t="shared" ref="G31" si="8">F31/F$36</f>
        <v>2.4140012070006035E-3</v>
      </c>
      <c r="H31" s="5">
        <v>270000</v>
      </c>
      <c r="I31" s="20">
        <f t="shared" si="2"/>
        <v>2.9537249753856252E-3</v>
      </c>
    </row>
    <row r="32" spans="3:9" x14ac:dyDescent="0.35">
      <c r="C32" s="54" t="s">
        <v>116</v>
      </c>
      <c r="D32" s="177" t="s">
        <v>15</v>
      </c>
      <c r="E32" s="177" t="s">
        <v>15</v>
      </c>
      <c r="F32" s="177" t="s">
        <v>15</v>
      </c>
      <c r="G32" s="177" t="s">
        <v>15</v>
      </c>
      <c r="H32" s="5">
        <v>1200000</v>
      </c>
      <c r="I32" s="20">
        <f t="shared" si="2"/>
        <v>1.3127666557269446E-2</v>
      </c>
    </row>
    <row r="33" spans="3:9" x14ac:dyDescent="0.35">
      <c r="C33" s="54" t="s">
        <v>117</v>
      </c>
      <c r="D33" s="177" t="s">
        <v>15</v>
      </c>
      <c r="E33" s="177" t="s">
        <v>15</v>
      </c>
      <c r="F33" s="177" t="s">
        <v>15</v>
      </c>
      <c r="G33" s="177" t="s">
        <v>15</v>
      </c>
      <c r="H33" s="5">
        <v>300000</v>
      </c>
      <c r="I33" s="20">
        <f t="shared" si="2"/>
        <v>3.2819166393173614E-3</v>
      </c>
    </row>
    <row r="34" spans="3:9" x14ac:dyDescent="0.35">
      <c r="C34" s="54" t="s">
        <v>118</v>
      </c>
      <c r="D34">
        <v>870</v>
      </c>
      <c r="E34" s="8">
        <f t="shared" si="0"/>
        <v>1.0473094980137234E-2</v>
      </c>
      <c r="F34" s="5">
        <v>750000</v>
      </c>
      <c r="G34" s="8">
        <f t="shared" ref="G34" si="9">F34/F$36</f>
        <v>3.0175015087507542E-2</v>
      </c>
      <c r="H34" s="5">
        <v>7900000</v>
      </c>
      <c r="I34" s="20">
        <f t="shared" si="2"/>
        <v>8.6423804835357179E-2</v>
      </c>
    </row>
    <row r="35" spans="3:9" x14ac:dyDescent="0.35">
      <c r="C35" s="54" t="s">
        <v>119</v>
      </c>
      <c r="D35" s="135">
        <v>1200</v>
      </c>
      <c r="E35" s="136">
        <f t="shared" si="0"/>
        <v>1.444564824846515E-2</v>
      </c>
      <c r="F35" s="135">
        <v>220000</v>
      </c>
      <c r="G35" s="136">
        <f t="shared" ref="G35" si="10">F35/F$36</f>
        <v>8.8513377590022126E-3</v>
      </c>
      <c r="H35" s="135">
        <v>500000</v>
      </c>
      <c r="I35" s="137">
        <f t="shared" si="2"/>
        <v>5.4698610655289359E-3</v>
      </c>
    </row>
    <row r="36" spans="3:9" x14ac:dyDescent="0.35">
      <c r="C36" s="54" t="s">
        <v>918</v>
      </c>
      <c r="D36" s="78">
        <f>SUM(D12:D35)</f>
        <v>83070</v>
      </c>
      <c r="E36" s="79">
        <f>D36/D$36</f>
        <v>1</v>
      </c>
      <c r="F36" s="78">
        <f>SUM(F12:F35)</f>
        <v>24855000</v>
      </c>
      <c r="G36" s="79">
        <f t="shared" ref="G36:G38" si="11">F36/F$36</f>
        <v>1</v>
      </c>
      <c r="H36" s="365">
        <f>SUM(H12:H35)</f>
        <v>91410000</v>
      </c>
      <c r="I36" s="366">
        <f t="shared" ref="I36:I38" si="12">H36/H$36</f>
        <v>1</v>
      </c>
    </row>
    <row r="37" spans="3:9" x14ac:dyDescent="0.35">
      <c r="C37" s="54" t="s">
        <v>920</v>
      </c>
      <c r="D37" s="78">
        <f>D36*$L14</f>
        <v>440271</v>
      </c>
      <c r="E37" s="79"/>
      <c r="F37" s="78">
        <f>F36*$L14</f>
        <v>131731500</v>
      </c>
      <c r="G37" s="79"/>
      <c r="H37" s="78">
        <f>H36*$L14</f>
        <v>484473000</v>
      </c>
      <c r="I37" s="366"/>
    </row>
    <row r="38" spans="3:9" ht="15" thickBot="1" x14ac:dyDescent="0.4">
      <c r="C38" s="64" t="s">
        <v>919</v>
      </c>
      <c r="D38" s="138">
        <f>SUM(D15,D19,D21,D35)</f>
        <v>15200</v>
      </c>
      <c r="E38" s="139">
        <f>D38/D$36</f>
        <v>0.18297821114722523</v>
      </c>
      <c r="F38" s="138">
        <f>SUM(F15,F19,F21,F35)</f>
        <v>1720000</v>
      </c>
      <c r="G38" s="139">
        <f t="shared" si="11"/>
        <v>6.9201367934017294E-2</v>
      </c>
      <c r="H38" s="138">
        <f>SUM(H15,H19,H21,H35)</f>
        <v>29600000</v>
      </c>
      <c r="I38" s="140">
        <f t="shared" si="12"/>
        <v>0.32381577507931297</v>
      </c>
    </row>
    <row r="39" spans="3:9" ht="16" customHeight="1" thickTop="1" x14ac:dyDescent="0.35">
      <c r="C39" s="370" t="s">
        <v>568</v>
      </c>
      <c r="D39" s="371"/>
      <c r="E39" s="371"/>
      <c r="F39" s="371"/>
      <c r="G39" s="116"/>
      <c r="H39" s="116"/>
      <c r="I39" s="116"/>
    </row>
    <row r="40" spans="3:9" x14ac:dyDescent="0.35">
      <c r="C40" t="s">
        <v>86</v>
      </c>
    </row>
    <row r="41" spans="3:9" x14ac:dyDescent="0.35">
      <c r="C41" s="9" t="s">
        <v>567</v>
      </c>
    </row>
  </sheetData>
  <hyperlinks>
    <hyperlink ref="C41" r:id="rId1" location="Production" xr:uid="{353E0BE2-85C8-4D5E-887A-89153E47C383}"/>
    <hyperlink ref="L16" r:id="rId2" xr:uid="{24F72864-4349-4916-825D-7D8F97C63C9E}"/>
  </hyperlinks>
  <pageMargins left="0.7" right="0.7" top="0.75" bottom="0.75" header="0.3" footer="0.3"/>
  <pageSetup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470AE-2582-4634-8107-B1F31BF8DF0A}">
  <dimension ref="A1:L25"/>
  <sheetViews>
    <sheetView workbookViewId="0">
      <selection activeCell="K7" sqref="K7:L16"/>
    </sheetView>
  </sheetViews>
  <sheetFormatPr defaultRowHeight="14.5" x14ac:dyDescent="0.35"/>
  <cols>
    <col min="3" max="3" width="15.54296875" customWidth="1"/>
    <col min="4" max="4" width="11.7265625" customWidth="1"/>
    <col min="5" max="5" width="10.453125" customWidth="1"/>
    <col min="6" max="6" width="12.1796875" customWidth="1"/>
    <col min="7" max="7" width="10.08984375" customWidth="1"/>
    <col min="11" max="11" width="20.36328125" customWidth="1"/>
    <col min="12" max="12" width="21.90625" customWidth="1"/>
    <col min="22" max="22" width="21.26953125" customWidth="1"/>
    <col min="23" max="23" width="20.26953125" customWidth="1"/>
  </cols>
  <sheetData>
    <row r="1" spans="1:12" ht="28.5" x14ac:dyDescent="0.65">
      <c r="A1" s="2" t="str">
        <f>RawMaterialsBEV!A1</f>
        <v>Batteries - In debt cost and scalability analysis #22</v>
      </c>
    </row>
    <row r="3" spans="1:12" ht="15.5" x14ac:dyDescent="0.35">
      <c r="A3" s="1" t="str">
        <f>RawMaterialsBEV!A3</f>
        <v>Proprietary. © H. Mathiesen. This material can be used by others free of charge provided that the author H. Mathiesen is attributed and a clickable link is made visible to the location of used material on www.hmexperience.dk</v>
      </c>
    </row>
    <row r="4" spans="1:12" ht="15.5" x14ac:dyDescent="0.35">
      <c r="A4" s="1" t="str">
        <f>RawMaterialsBEV!A4</f>
        <v>Sources to all information used in this spreadsheet can also be found in associated PowerPoint presentation located also at www.hmexperience.dk</v>
      </c>
    </row>
    <row r="7" spans="1:12" ht="19" thickBot="1" x14ac:dyDescent="0.5">
      <c r="C7" s="118" t="s">
        <v>203</v>
      </c>
      <c r="D7" s="116"/>
      <c r="E7" s="116"/>
      <c r="F7" s="116"/>
      <c r="G7" s="116"/>
      <c r="K7" s="106" t="s">
        <v>216</v>
      </c>
    </row>
    <row r="8" spans="1:12" ht="15.5" customHeight="1" thickTop="1" x14ac:dyDescent="0.35">
      <c r="C8" s="121" t="s">
        <v>122</v>
      </c>
      <c r="D8" s="122" t="s">
        <v>95</v>
      </c>
      <c r="E8" s="122" t="s">
        <v>124</v>
      </c>
      <c r="F8" s="122" t="s">
        <v>125</v>
      </c>
      <c r="G8" s="123" t="s">
        <v>124</v>
      </c>
      <c r="K8" s="143" t="s">
        <v>204</v>
      </c>
      <c r="L8" s="154" t="s">
        <v>205</v>
      </c>
    </row>
    <row r="9" spans="1:12" x14ac:dyDescent="0.35">
      <c r="C9" s="54" t="s">
        <v>97</v>
      </c>
      <c r="D9" s="5">
        <v>160000</v>
      </c>
      <c r="E9" s="8">
        <f>D9/D$19</f>
        <v>4.8484848484848485E-2</v>
      </c>
      <c r="F9" s="5">
        <v>21000000</v>
      </c>
      <c r="G9" s="20">
        <f>F9/F$19</f>
        <v>0.20574115802880377</v>
      </c>
      <c r="K9" s="54" t="s">
        <v>206</v>
      </c>
      <c r="L9" s="315">
        <v>0.69</v>
      </c>
    </row>
    <row r="10" spans="1:12" x14ac:dyDescent="0.35">
      <c r="C10" s="54" t="s">
        <v>194</v>
      </c>
      <c r="D10" s="5">
        <v>1600000</v>
      </c>
      <c r="E10" s="8">
        <f t="shared" ref="E10:E18" si="0">D10/D$19</f>
        <v>0.48484848484848486</v>
      </c>
      <c r="F10" s="5">
        <v>21000000</v>
      </c>
      <c r="G10" s="20">
        <f t="shared" ref="G10:G15" si="1">F10/F$19</f>
        <v>0.20574115802880377</v>
      </c>
      <c r="K10" s="54" t="s">
        <v>207</v>
      </c>
      <c r="L10" s="315">
        <v>0.11</v>
      </c>
    </row>
    <row r="11" spans="1:12" x14ac:dyDescent="0.35">
      <c r="C11" s="54" t="s">
        <v>100</v>
      </c>
      <c r="D11" s="5">
        <v>100000</v>
      </c>
      <c r="E11" s="8">
        <f t="shared" si="0"/>
        <v>3.0303030303030304E-2</v>
      </c>
      <c r="F11" s="5">
        <v>16000000</v>
      </c>
      <c r="G11" s="20">
        <f t="shared" si="1"/>
        <v>0.15675516802194572</v>
      </c>
      <c r="K11" s="54" t="s">
        <v>208</v>
      </c>
      <c r="L11" s="315">
        <v>7.0000000000000007E-2</v>
      </c>
    </row>
    <row r="12" spans="1:12" x14ac:dyDescent="0.35">
      <c r="C12" s="54" t="s">
        <v>196</v>
      </c>
      <c r="D12" s="37">
        <v>220000</v>
      </c>
      <c r="E12" s="80">
        <f t="shared" si="0"/>
        <v>6.6666666666666666E-2</v>
      </c>
      <c r="F12" s="37">
        <v>7500000</v>
      </c>
      <c r="G12" s="39">
        <f t="shared" si="1"/>
        <v>7.347898501028706E-2</v>
      </c>
      <c r="K12" s="54" t="s">
        <v>209</v>
      </c>
      <c r="L12" s="315">
        <v>0.06</v>
      </c>
    </row>
    <row r="13" spans="1:12" x14ac:dyDescent="0.35">
      <c r="C13" s="54" t="s">
        <v>197</v>
      </c>
      <c r="D13" s="5">
        <v>190000</v>
      </c>
      <c r="E13" s="8">
        <f t="shared" si="0"/>
        <v>5.7575757575757579E-2</v>
      </c>
      <c r="F13" s="5">
        <v>7100000</v>
      </c>
      <c r="G13" s="20">
        <f t="shared" si="1"/>
        <v>6.9560105809738412E-2</v>
      </c>
      <c r="K13" s="54" t="s">
        <v>210</v>
      </c>
      <c r="L13" s="315">
        <v>0.03</v>
      </c>
    </row>
    <row r="14" spans="1:12" x14ac:dyDescent="0.35">
      <c r="C14" s="54" t="s">
        <v>470</v>
      </c>
      <c r="D14" s="5">
        <v>330000</v>
      </c>
      <c r="E14" s="8">
        <f t="shared" si="0"/>
        <v>0.1</v>
      </c>
      <c r="F14" s="5">
        <v>4800000</v>
      </c>
      <c r="G14" s="20">
        <f t="shared" si="1"/>
        <v>4.7026550406583718E-2</v>
      </c>
      <c r="K14" s="54" t="s">
        <v>211</v>
      </c>
      <c r="L14" s="315">
        <v>0.02</v>
      </c>
    </row>
    <row r="15" spans="1:12" x14ac:dyDescent="0.35">
      <c r="C15" s="54" t="s">
        <v>101</v>
      </c>
      <c r="D15" s="5">
        <v>130000</v>
      </c>
      <c r="E15" s="8">
        <f t="shared" si="0"/>
        <v>3.9393939393939391E-2</v>
      </c>
      <c r="F15" s="5">
        <v>2200000</v>
      </c>
      <c r="G15" s="20">
        <f t="shared" si="1"/>
        <v>2.1553835603017536E-2</v>
      </c>
      <c r="K15" s="54" t="s">
        <v>212</v>
      </c>
      <c r="L15" s="315">
        <v>0.02</v>
      </c>
    </row>
    <row r="16" spans="1:12" ht="15" thickBot="1" x14ac:dyDescent="0.4">
      <c r="C16" s="54" t="s">
        <v>103</v>
      </c>
      <c r="D16" s="37">
        <v>120000</v>
      </c>
      <c r="E16" s="80">
        <f t="shared" si="0"/>
        <v>3.6363636363636362E-2</v>
      </c>
      <c r="F16" s="37">
        <v>2100000</v>
      </c>
      <c r="G16" s="39">
        <f>F16/F$19</f>
        <v>2.0574115802880377E-2</v>
      </c>
      <c r="K16" s="64" t="s">
        <v>215</v>
      </c>
      <c r="L16" s="316">
        <f>SUM(L9:L15)</f>
        <v>1</v>
      </c>
    </row>
    <row r="17" spans="3:12" ht="15" thickTop="1" x14ac:dyDescent="0.35">
      <c r="C17" s="54" t="s">
        <v>118</v>
      </c>
      <c r="D17" s="5">
        <v>18000</v>
      </c>
      <c r="E17" s="8">
        <f t="shared" si="0"/>
        <v>5.454545454545455E-3</v>
      </c>
      <c r="F17" s="5">
        <v>370000</v>
      </c>
      <c r="G17" s="20">
        <f t="shared" ref="G17:G19" si="2">F17/F$19</f>
        <v>3.6249632605074951E-3</v>
      </c>
    </row>
    <row r="18" spans="3:12" x14ac:dyDescent="0.35">
      <c r="C18" s="54" t="s">
        <v>198</v>
      </c>
      <c r="D18" s="5">
        <f>D19-SUM(D9:D17)</f>
        <v>432000</v>
      </c>
      <c r="E18" s="8">
        <f t="shared" si="0"/>
        <v>0.13090909090909092</v>
      </c>
      <c r="F18" s="5">
        <v>20000000</v>
      </c>
      <c r="G18" s="20">
        <f t="shared" si="2"/>
        <v>0.19594396002743217</v>
      </c>
    </row>
    <row r="19" spans="3:12" ht="14.5" customHeight="1" thickBot="1" x14ac:dyDescent="0.4">
      <c r="C19" s="64" t="s">
        <v>120</v>
      </c>
      <c r="D19" s="126">
        <v>3300000</v>
      </c>
      <c r="E19" s="127">
        <f>D19/D$19</f>
        <v>1</v>
      </c>
      <c r="F19" s="126">
        <f>SUM(F9:F18)</f>
        <v>102070000</v>
      </c>
      <c r="G19" s="128">
        <f t="shared" si="2"/>
        <v>1</v>
      </c>
      <c r="K19" s="4" t="s">
        <v>213</v>
      </c>
      <c r="L19" s="9" t="s">
        <v>214</v>
      </c>
    </row>
    <row r="20" spans="3:12" ht="14.5" customHeight="1" thickTop="1" x14ac:dyDescent="0.35">
      <c r="C20" s="120" t="s">
        <v>471</v>
      </c>
    </row>
    <row r="21" spans="3:12" ht="14.5" customHeight="1" x14ac:dyDescent="0.35"/>
    <row r="22" spans="3:12" x14ac:dyDescent="0.35">
      <c r="C22" s="4" t="s">
        <v>685</v>
      </c>
      <c r="E22" s="9" t="s">
        <v>195</v>
      </c>
    </row>
    <row r="23" spans="3:12" x14ac:dyDescent="0.35">
      <c r="C23" s="4" t="s">
        <v>199</v>
      </c>
      <c r="E23" s="9" t="s">
        <v>200</v>
      </c>
    </row>
    <row r="24" spans="3:12" x14ac:dyDescent="0.35">
      <c r="C24" s="4" t="s">
        <v>199</v>
      </c>
      <c r="E24" s="9" t="s">
        <v>201</v>
      </c>
    </row>
    <row r="25" spans="3:12" x14ac:dyDescent="0.35">
      <c r="C25" s="4" t="s">
        <v>202</v>
      </c>
      <c r="G25" s="9" t="s">
        <v>148</v>
      </c>
    </row>
  </sheetData>
  <hyperlinks>
    <hyperlink ref="E22" r:id="rId1" xr:uid="{5DEE5F28-CE3D-4182-8DB1-DCBE5D7CABCD}"/>
    <hyperlink ref="E23" r:id="rId2" xr:uid="{E31ACB17-33BF-4A79-B639-047807127203}"/>
    <hyperlink ref="E24" r:id="rId3" xr:uid="{2DC07EEF-0F61-472D-A554-22F93557A457}"/>
    <hyperlink ref="G25" r:id="rId4" xr:uid="{4F45B3D8-1C8C-4F4C-BCFD-1137385A04BD}"/>
    <hyperlink ref="L19" r:id="rId5" location="04-first-use-nickel" xr:uid="{6DBE56E5-7F31-45D2-BC44-ACCA1B094A3A}"/>
  </hyperlinks>
  <pageMargins left="0.7" right="0.7" top="0.75" bottom="0.75" header="0.3" footer="0.3"/>
  <pageSetup orientation="portrait" verticalDpi="0"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FBD90-A850-4400-804F-580396FEEDA1}">
  <dimension ref="A1:L38"/>
  <sheetViews>
    <sheetView workbookViewId="0">
      <selection activeCell="I7" sqref="I7"/>
    </sheetView>
  </sheetViews>
  <sheetFormatPr defaultRowHeight="14.5" x14ac:dyDescent="0.35"/>
  <cols>
    <col min="3" max="3" width="15.54296875" customWidth="1"/>
    <col min="4" max="4" width="11.7265625" customWidth="1"/>
    <col min="5" max="5" width="10.453125" customWidth="1"/>
    <col min="6" max="6" width="11" customWidth="1"/>
    <col min="7" max="7" width="12.453125" customWidth="1"/>
    <col min="8" max="8" width="13.90625" customWidth="1"/>
    <col min="11" max="11" width="20.36328125" customWidth="1"/>
    <col min="12" max="12" width="17.6328125" customWidth="1"/>
    <col min="22" max="22" width="21.26953125" customWidth="1"/>
    <col min="23" max="23" width="20.26953125" customWidth="1"/>
  </cols>
  <sheetData>
    <row r="1" spans="1:12" ht="28.5" x14ac:dyDescent="0.65">
      <c r="A1" s="2" t="str">
        <f>RawMaterialsBEV!A1</f>
        <v>Batteries - In debt cost and scalability analysis #22</v>
      </c>
    </row>
    <row r="3" spans="1:12" ht="15.5" x14ac:dyDescent="0.35">
      <c r="A3" s="1" t="str">
        <f>RawMaterialsBEV!A3</f>
        <v>Proprietary. © H. Mathiesen. This material can be used by others free of charge provided that the author H. Mathiesen is attributed and a clickable link is made visible to the location of used material on www.hmexperience.dk</v>
      </c>
    </row>
    <row r="4" spans="1:12" ht="15.5" x14ac:dyDescent="0.35">
      <c r="A4" s="1" t="str">
        <f>RawMaterialsBEV!A4</f>
        <v>Sources to all information used in this spreadsheet can also be found in associated PowerPoint presentation located also at www.hmexperience.dk</v>
      </c>
    </row>
    <row r="7" spans="1:12" ht="19" thickBot="1" x14ac:dyDescent="0.5">
      <c r="C7" s="118" t="s">
        <v>346</v>
      </c>
      <c r="D7" s="116"/>
      <c r="E7" s="116"/>
      <c r="F7" s="116"/>
      <c r="G7" s="116"/>
      <c r="K7" s="106" t="s">
        <v>338</v>
      </c>
    </row>
    <row r="8" spans="1:12" ht="15.5" customHeight="1" thickTop="1" x14ac:dyDescent="0.35">
      <c r="C8" s="121" t="s">
        <v>122</v>
      </c>
      <c r="D8" s="122" t="s">
        <v>95</v>
      </c>
      <c r="E8" s="122" t="s">
        <v>124</v>
      </c>
      <c r="F8" s="122" t="s">
        <v>125</v>
      </c>
      <c r="G8" s="123" t="s">
        <v>124</v>
      </c>
      <c r="K8" s="184" t="s">
        <v>329</v>
      </c>
      <c r="L8" s="185" t="s">
        <v>205</v>
      </c>
    </row>
    <row r="9" spans="1:12" ht="8.5" customHeight="1" x14ac:dyDescent="0.35">
      <c r="C9" s="124"/>
      <c r="D9" s="116"/>
      <c r="E9" s="116"/>
      <c r="F9" s="116"/>
      <c r="G9" s="125"/>
      <c r="K9" s="186"/>
      <c r="L9" s="187"/>
    </row>
    <row r="10" spans="1:12" x14ac:dyDescent="0.35">
      <c r="C10" s="54" t="s">
        <v>105</v>
      </c>
      <c r="D10" s="135">
        <v>130000</v>
      </c>
      <c r="E10" s="136">
        <f t="shared" ref="E10:E25" si="0">D10/D$24</f>
        <v>0.68421052631578949</v>
      </c>
      <c r="F10" s="135">
        <v>4000000</v>
      </c>
      <c r="G10" s="137">
        <f t="shared" ref="G10:G25" si="1">F10/F$24</f>
        <v>0.47932893948472138</v>
      </c>
      <c r="I10" t="s">
        <v>4</v>
      </c>
      <c r="K10" s="188" t="s">
        <v>207</v>
      </c>
      <c r="L10" s="20">
        <v>0.5645</v>
      </c>
    </row>
    <row r="11" spans="1:12" x14ac:dyDescent="0.35">
      <c r="C11" s="54" t="s">
        <v>340</v>
      </c>
      <c r="D11" s="5">
        <v>10000</v>
      </c>
      <c r="E11" s="8">
        <f t="shared" si="0"/>
        <v>5.2631578947368418E-2</v>
      </c>
      <c r="F11" s="5">
        <v>600000</v>
      </c>
      <c r="G11" s="20">
        <f t="shared" si="1"/>
        <v>7.1899340922708208E-2</v>
      </c>
      <c r="I11">
        <v>2022</v>
      </c>
      <c r="K11" s="188" t="s">
        <v>331</v>
      </c>
      <c r="L11" s="20">
        <v>0.13200000000000001</v>
      </c>
    </row>
    <row r="12" spans="1:12" x14ac:dyDescent="0.35">
      <c r="C12" s="54" t="s">
        <v>222</v>
      </c>
      <c r="D12" s="135">
        <v>8900</v>
      </c>
      <c r="E12" s="136">
        <f t="shared" si="0"/>
        <v>4.6842105263157893E-2</v>
      </c>
      <c r="F12" s="135">
        <v>250000</v>
      </c>
      <c r="G12" s="137">
        <f t="shared" si="1"/>
        <v>2.9958058717795086E-2</v>
      </c>
      <c r="K12" s="188" t="s">
        <v>332</v>
      </c>
      <c r="L12" s="20">
        <v>7.9000000000000001E-2</v>
      </c>
    </row>
    <row r="13" spans="1:12" x14ac:dyDescent="0.35">
      <c r="C13" s="54" t="s">
        <v>97</v>
      </c>
      <c r="D13" s="5">
        <v>5900</v>
      </c>
      <c r="E13" s="8">
        <f t="shared" si="0"/>
        <v>3.105263157894737E-2</v>
      </c>
      <c r="F13" s="5">
        <v>1500000</v>
      </c>
      <c r="G13" s="20">
        <f t="shared" si="1"/>
        <v>0.17974835230677053</v>
      </c>
      <c r="K13" s="188" t="s">
        <v>333</v>
      </c>
      <c r="L13" s="20">
        <v>6.4500000000000002E-2</v>
      </c>
    </row>
    <row r="14" spans="1:12" x14ac:dyDescent="0.35">
      <c r="C14" s="54" t="s">
        <v>101</v>
      </c>
      <c r="D14" s="5">
        <v>3900</v>
      </c>
      <c r="E14" s="8">
        <f t="shared" si="0"/>
        <v>2.0526315789473684E-2</v>
      </c>
      <c r="F14" s="5">
        <v>220000</v>
      </c>
      <c r="G14" s="20">
        <f t="shared" si="1"/>
        <v>2.6363091671659677E-2</v>
      </c>
      <c r="K14" s="188" t="s">
        <v>334</v>
      </c>
      <c r="L14" s="20">
        <v>4.9000000000000002E-2</v>
      </c>
    </row>
    <row r="15" spans="1:12" x14ac:dyDescent="0.35">
      <c r="C15" s="54" t="s">
        <v>341</v>
      </c>
      <c r="D15" s="135">
        <v>3800</v>
      </c>
      <c r="E15" s="136">
        <f t="shared" si="0"/>
        <v>0.02</v>
      </c>
      <c r="F15" s="135">
        <v>500000</v>
      </c>
      <c r="G15" s="137">
        <f t="shared" si="1"/>
        <v>5.9916117435590173E-2</v>
      </c>
      <c r="K15" s="188" t="s">
        <v>335</v>
      </c>
      <c r="L15" s="20">
        <v>4.1000000000000002E-2</v>
      </c>
    </row>
    <row r="16" spans="1:12" x14ac:dyDescent="0.35">
      <c r="C16" s="54" t="s">
        <v>342</v>
      </c>
      <c r="D16" s="5">
        <v>3800</v>
      </c>
      <c r="E16" s="8">
        <f t="shared" si="0"/>
        <v>0.02</v>
      </c>
      <c r="F16" s="5">
        <v>260000</v>
      </c>
      <c r="G16" s="20">
        <f t="shared" si="1"/>
        <v>3.1156381066506891E-2</v>
      </c>
      <c r="K16" s="188" t="s">
        <v>336</v>
      </c>
      <c r="L16" s="20">
        <v>1.95E-2</v>
      </c>
    </row>
    <row r="17" spans="3:12" x14ac:dyDescent="0.35">
      <c r="C17" s="54" t="s">
        <v>343</v>
      </c>
      <c r="D17" s="5">
        <v>3000</v>
      </c>
      <c r="E17" s="8">
        <f t="shared" si="0"/>
        <v>1.5789473684210527E-2</v>
      </c>
      <c r="F17" s="5">
        <v>100000</v>
      </c>
      <c r="G17" s="20">
        <f t="shared" si="1"/>
        <v>1.1983223487118035E-2</v>
      </c>
      <c r="K17" s="188" t="s">
        <v>337</v>
      </c>
      <c r="L17" s="20">
        <v>5.0500000000000003E-2</v>
      </c>
    </row>
    <row r="18" spans="3:12" ht="15" thickBot="1" x14ac:dyDescent="0.4">
      <c r="C18" s="54" t="s">
        <v>344</v>
      </c>
      <c r="D18" s="5">
        <v>3000</v>
      </c>
      <c r="E18" s="8">
        <f t="shared" si="0"/>
        <v>1.5789473684210527E-2</v>
      </c>
      <c r="F18" s="5">
        <v>47000</v>
      </c>
      <c r="G18" s="20">
        <f t="shared" si="1"/>
        <v>5.6321150389454762E-3</v>
      </c>
      <c r="K18" s="189" t="s">
        <v>215</v>
      </c>
      <c r="L18" s="181">
        <f>SUM(L10:L17)</f>
        <v>1</v>
      </c>
    </row>
    <row r="19" spans="3:12" ht="15" thickTop="1" x14ac:dyDescent="0.35">
      <c r="C19" s="54" t="s">
        <v>221</v>
      </c>
      <c r="D19" s="5">
        <v>2700</v>
      </c>
      <c r="E19" s="8">
        <f t="shared" si="0"/>
        <v>1.4210526315789474E-2</v>
      </c>
      <c r="F19" s="5">
        <v>36000</v>
      </c>
      <c r="G19" s="20">
        <f t="shared" si="1"/>
        <v>4.3139604553624929E-3</v>
      </c>
      <c r="K19" s="4" t="s">
        <v>213</v>
      </c>
      <c r="L19" s="9" t="s">
        <v>330</v>
      </c>
    </row>
    <row r="20" spans="3:12" x14ac:dyDescent="0.35">
      <c r="C20" s="54" t="s">
        <v>345</v>
      </c>
      <c r="D20" s="5">
        <v>2300</v>
      </c>
      <c r="E20" s="8">
        <f t="shared" si="0"/>
        <v>1.2105263157894737E-2</v>
      </c>
      <c r="F20" s="5">
        <v>13000</v>
      </c>
      <c r="G20" s="20">
        <f t="shared" si="1"/>
        <v>1.5578190533253446E-3</v>
      </c>
      <c r="K20" s="4"/>
      <c r="L20" s="9"/>
    </row>
    <row r="21" spans="3:12" x14ac:dyDescent="0.35">
      <c r="C21" s="54" t="s">
        <v>103</v>
      </c>
      <c r="D21" s="135">
        <v>2200</v>
      </c>
      <c r="E21" s="136">
        <f t="shared" si="0"/>
        <v>1.1578947368421053E-2</v>
      </c>
      <c r="F21" s="135">
        <v>140000</v>
      </c>
      <c r="G21" s="137">
        <f t="shared" si="1"/>
        <v>1.6776512881965248E-2</v>
      </c>
      <c r="K21" s="4"/>
      <c r="L21" s="9"/>
    </row>
    <row r="22" spans="3:12" x14ac:dyDescent="0.35">
      <c r="C22" s="54" t="s">
        <v>118</v>
      </c>
      <c r="D22">
        <v>800</v>
      </c>
      <c r="E22" s="8">
        <f t="shared" si="0"/>
        <v>4.2105263157894736E-3</v>
      </c>
      <c r="F22" s="5">
        <v>69000</v>
      </c>
      <c r="G22" s="20">
        <f t="shared" si="1"/>
        <v>8.2684242061114438E-3</v>
      </c>
      <c r="K22" s="4"/>
      <c r="L22" s="9"/>
    </row>
    <row r="23" spans="3:12" x14ac:dyDescent="0.35">
      <c r="C23" s="54" t="s">
        <v>198</v>
      </c>
      <c r="D23" s="5">
        <f>D24-SUM(D10:D22)</f>
        <v>9700</v>
      </c>
      <c r="E23" s="8">
        <f t="shared" si="0"/>
        <v>5.105263157894737E-2</v>
      </c>
      <c r="F23" s="5">
        <v>610000</v>
      </c>
      <c r="G23" s="20">
        <f t="shared" si="1"/>
        <v>7.3097663271420019E-2</v>
      </c>
      <c r="K23" s="4"/>
      <c r="L23" s="9"/>
    </row>
    <row r="24" spans="3:12" ht="14.5" customHeight="1" thickBot="1" x14ac:dyDescent="0.4">
      <c r="C24" s="64" t="s">
        <v>120</v>
      </c>
      <c r="D24" s="126">
        <v>190000</v>
      </c>
      <c r="E24" s="127">
        <f t="shared" si="0"/>
        <v>1</v>
      </c>
      <c r="F24" s="126">
        <f>SUM(F10:F23)</f>
        <v>8345000</v>
      </c>
      <c r="G24" s="128">
        <f t="shared" si="1"/>
        <v>1</v>
      </c>
    </row>
    <row r="25" spans="3:12" ht="14.5" customHeight="1" thickTop="1" thickBot="1" x14ac:dyDescent="0.4">
      <c r="C25" s="64" t="s">
        <v>347</v>
      </c>
      <c r="D25" s="138">
        <f>SUM(D10,D12,D15,D21)</f>
        <v>144900</v>
      </c>
      <c r="E25" s="139">
        <f t="shared" si="0"/>
        <v>0.76263157894736844</v>
      </c>
      <c r="F25" s="138">
        <f>SUM(F10,F12,F15,F21)</f>
        <v>4890000</v>
      </c>
      <c r="G25" s="140">
        <f t="shared" si="1"/>
        <v>0.5859796285200719</v>
      </c>
    </row>
    <row r="26" spans="3:12" ht="14.5" customHeight="1" thickTop="1" x14ac:dyDescent="0.35">
      <c r="C26" s="120" t="s">
        <v>471</v>
      </c>
    </row>
    <row r="27" spans="3:12" ht="14.5" customHeight="1" x14ac:dyDescent="0.35">
      <c r="F27" t="s">
        <v>348</v>
      </c>
    </row>
    <row r="28" spans="3:12" x14ac:dyDescent="0.35">
      <c r="C28" s="4" t="s">
        <v>350</v>
      </c>
      <c r="F28" s="9" t="s">
        <v>349</v>
      </c>
    </row>
    <row r="29" spans="3:12" x14ac:dyDescent="0.35">
      <c r="C29" s="4" t="s">
        <v>351</v>
      </c>
      <c r="F29" s="9" t="s">
        <v>339</v>
      </c>
    </row>
    <row r="30" spans="3:12" x14ac:dyDescent="0.35">
      <c r="C30" s="4" t="s">
        <v>352</v>
      </c>
      <c r="E30" s="9"/>
      <c r="F30" s="9" t="s">
        <v>145</v>
      </c>
    </row>
    <row r="31" spans="3:12" x14ac:dyDescent="0.35">
      <c r="C31" s="4"/>
      <c r="G31" s="9"/>
    </row>
    <row r="33" spans="3:8" x14ac:dyDescent="0.35">
      <c r="C33" s="4" t="s">
        <v>422</v>
      </c>
      <c r="H33" s="5">
        <f>Co!F24*1000/CostOfRawMaterialsBEV!C20</f>
        <v>1349799430.6418219</v>
      </c>
    </row>
    <row r="36" spans="3:8" x14ac:dyDescent="0.35">
      <c r="C36" t="s">
        <v>423</v>
      </c>
      <c r="F36" s="5">
        <v>94000000</v>
      </c>
    </row>
    <row r="37" spans="3:8" x14ac:dyDescent="0.35">
      <c r="C37" t="s">
        <v>86</v>
      </c>
      <c r="D37" s="9" t="s">
        <v>368</v>
      </c>
    </row>
    <row r="38" spans="3:8" x14ac:dyDescent="0.35">
      <c r="C38" s="4" t="s">
        <v>424</v>
      </c>
      <c r="H38" s="5">
        <f>F36*1000/CostOfRawMaterialsBEV!C20</f>
        <v>15204451345.755693</v>
      </c>
    </row>
  </sheetData>
  <hyperlinks>
    <hyperlink ref="L19" r:id="rId1" xr:uid="{F45CAB7A-F42A-48EF-ABC3-82D79D71D2C2}"/>
    <hyperlink ref="F29" r:id="rId2" xr:uid="{FBCB16F4-2927-40DE-B5B1-698E90A4A7B5}"/>
    <hyperlink ref="F30" r:id="rId3" xr:uid="{3AA524A8-4E31-442F-AB3A-D14D90924DA1}"/>
    <hyperlink ref="F28" r:id="rId4" xr:uid="{7F331048-E8D4-4350-B982-83A6607CD4DA}"/>
    <hyperlink ref="D37" r:id="rId5" xr:uid="{D9C06D20-C643-4A78-8F80-24FE0FA32332}"/>
  </hyperlinks>
  <pageMargins left="0.7" right="0.7" top="0.75" bottom="0.75" header="0.3" footer="0.3"/>
  <pageSetup orientation="portrait" verticalDpi="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CostOfRawMaterialsBEV</vt:lpstr>
      <vt:lpstr>RawMaterialsBEV</vt:lpstr>
      <vt:lpstr>RawMaterial</vt:lpstr>
      <vt:lpstr>RM_ByBatChem</vt:lpstr>
      <vt:lpstr>Cu</vt:lpstr>
      <vt:lpstr>GrowthLi</vt:lpstr>
      <vt:lpstr>Li</vt:lpstr>
      <vt:lpstr>Ni</vt:lpstr>
      <vt:lpstr>Co</vt:lpstr>
      <vt:lpstr>Mg</vt:lpstr>
      <vt:lpstr>Mn</vt:lpstr>
      <vt:lpstr>Graphite</vt:lpstr>
      <vt:lpstr>Recycling</vt:lpstr>
      <vt:lpstr>MiningReserves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2023-05-24T15:47:46Z</dcterms:modified>
</cp:coreProperties>
</file>