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43D7FA89-8EDD-4B21-A2DA-C31F4A6DED90}" xr6:coauthVersionLast="47" xr6:coauthVersionMax="47" xr10:uidLastSave="{00000000-0000-0000-0000-000000000000}"/>
  <bookViews>
    <workbookView xWindow="40060" yWindow="3660" windowWidth="28800" windowHeight="15370" tabRatio="751" activeTab="11" xr2:uid="{00000000-000D-0000-FFFF-FFFF00000000}"/>
  </bookViews>
  <sheets>
    <sheet name="CostOfRawMaterialsBEV" sheetId="2" r:id="rId1"/>
    <sheet name="RawMaterialsBEV" sheetId="1" r:id="rId2"/>
    <sheet name="RawMaterial" sheetId="6" r:id="rId3"/>
    <sheet name="RM_ByBatChem" sheetId="11" r:id="rId4"/>
    <sheet name="Cu" sheetId="3" r:id="rId5"/>
    <sheet name="GrowthLi" sheetId="4" r:id="rId6"/>
    <sheet name="Li" sheetId="5" r:id="rId7"/>
    <sheet name="Ni" sheetId="8" r:id="rId8"/>
    <sheet name="Co" sheetId="12" r:id="rId9"/>
    <sheet name="Mg" sheetId="10" r:id="rId10"/>
    <sheet name="Mn" sheetId="14" r:id="rId11"/>
    <sheet name="Recycling" sheetId="1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8" i="13" l="1"/>
  <c r="U17" i="13"/>
  <c r="U16" i="13"/>
  <c r="U15" i="13"/>
  <c r="U14" i="13"/>
  <c r="U13" i="13"/>
  <c r="L7" i="2"/>
  <c r="L8" i="2"/>
  <c r="M8" i="2"/>
  <c r="N8" i="2"/>
  <c r="O8" i="2"/>
  <c r="P8" i="2"/>
  <c r="M9" i="2"/>
  <c r="N9" i="2"/>
  <c r="O9" i="2"/>
  <c r="P9" i="2"/>
  <c r="P10" i="2"/>
  <c r="P11" i="2"/>
  <c r="P12" i="2"/>
  <c r="P14" i="2"/>
  <c r="P15" i="2"/>
  <c r="P16" i="2"/>
  <c r="P17" i="2"/>
  <c r="N18" i="2"/>
  <c r="P18" i="2"/>
  <c r="P19" i="2"/>
  <c r="P20" i="2"/>
  <c r="P21" i="2"/>
  <c r="L22" i="2"/>
  <c r="N22" i="2"/>
  <c r="P22" i="2"/>
  <c r="L23" i="2"/>
  <c r="N23" i="2"/>
  <c r="L24" i="2"/>
  <c r="B47" i="11"/>
  <c r="B32" i="2"/>
  <c r="D15" i="2"/>
  <c r="E15" i="2" s="1"/>
  <c r="D10" i="2"/>
  <c r="F11" i="6" s="1"/>
  <c r="Q9" i="11"/>
  <c r="Q29" i="11"/>
  <c r="R26" i="11"/>
  <c r="R25" i="11"/>
  <c r="Q19" i="11"/>
  <c r="Q20" i="11"/>
  <c r="Q21" i="11"/>
  <c r="Q22" i="11"/>
  <c r="Q23" i="11"/>
  <c r="Q24" i="11"/>
  <c r="Q25" i="11"/>
  <c r="Q26" i="11"/>
  <c r="Q27" i="11"/>
  <c r="Q28" i="11"/>
  <c r="R29" i="11"/>
  <c r="Q18" i="11"/>
  <c r="R19" i="11"/>
  <c r="B41" i="11"/>
  <c r="R28" i="11"/>
  <c r="Q30" i="11"/>
  <c r="E19" i="11"/>
  <c r="A4" i="14"/>
  <c r="A3" i="14"/>
  <c r="A1" i="14"/>
  <c r="N11" i="14"/>
  <c r="N27" i="14"/>
  <c r="N24" i="14"/>
  <c r="N23" i="14"/>
  <c r="N22" i="14"/>
  <c r="N20" i="14"/>
  <c r="N19" i="14"/>
  <c r="N18" i="14"/>
  <c r="N16" i="14"/>
  <c r="N14" i="14"/>
  <c r="N12" i="14"/>
  <c r="L12" i="14"/>
  <c r="L13" i="14"/>
  <c r="L14" i="14"/>
  <c r="L15" i="14"/>
  <c r="L16" i="14"/>
  <c r="L17" i="14"/>
  <c r="L18" i="14"/>
  <c r="L19" i="14"/>
  <c r="L20" i="14"/>
  <c r="L21" i="14"/>
  <c r="L22" i="14"/>
  <c r="L23" i="14"/>
  <c r="L24" i="14"/>
  <c r="L25" i="14"/>
  <c r="L26" i="14"/>
  <c r="L27" i="14"/>
  <c r="L11" i="14"/>
  <c r="K27" i="14"/>
  <c r="F15" i="1" s="1"/>
  <c r="C21" i="6" s="1"/>
  <c r="C22" i="6" s="1"/>
  <c r="M27" i="14"/>
  <c r="F23" i="14"/>
  <c r="E23" i="14"/>
  <c r="W14" i="13"/>
  <c r="G13" i="13"/>
  <c r="H13" i="13"/>
  <c r="A4" i="13"/>
  <c r="A3" i="13"/>
  <c r="A1" i="13"/>
  <c r="F25" i="12"/>
  <c r="G25" i="12" s="1"/>
  <c r="D25" i="12"/>
  <c r="E25" i="12" s="1"/>
  <c r="F24" i="12"/>
  <c r="G13" i="12" s="1"/>
  <c r="D23" i="12"/>
  <c r="E23" i="12" s="1"/>
  <c r="E24" i="12"/>
  <c r="L18" i="12"/>
  <c r="A4" i="12"/>
  <c r="A3" i="12"/>
  <c r="A1" i="12"/>
  <c r="F14" i="2"/>
  <c r="G17" i="6" s="1"/>
  <c r="N31" i="11"/>
  <c r="J29" i="11"/>
  <c r="J30" i="11" s="1"/>
  <c r="J31" i="11" s="1"/>
  <c r="H29" i="11"/>
  <c r="H30" i="11" s="1"/>
  <c r="H31" i="11" s="1"/>
  <c r="F29" i="11"/>
  <c r="F30" i="11" s="1"/>
  <c r="F31" i="11" s="1"/>
  <c r="L30" i="11"/>
  <c r="M21" i="11" s="1"/>
  <c r="D30" i="11"/>
  <c r="E20" i="11" s="1"/>
  <c r="A1" i="4"/>
  <c r="A3" i="4"/>
  <c r="A4" i="4"/>
  <c r="A1" i="10"/>
  <c r="A3" i="10"/>
  <c r="A4" i="10"/>
  <c r="A1" i="11"/>
  <c r="A3" i="11"/>
  <c r="A4" i="11"/>
  <c r="I34" i="1"/>
  <c r="F63" i="1"/>
  <c r="F75" i="1" s="1"/>
  <c r="C18" i="1" s="1"/>
  <c r="D18" i="1" s="1"/>
  <c r="V15" i="6"/>
  <c r="D15" i="1"/>
  <c r="G25" i="6"/>
  <c r="D19" i="2"/>
  <c r="F25" i="6" s="1"/>
  <c r="D12" i="2"/>
  <c r="F14" i="6" s="1"/>
  <c r="C19" i="2"/>
  <c r="M17" i="2" s="1"/>
  <c r="D25" i="6"/>
  <c r="D26" i="6" s="1"/>
  <c r="D23" i="6"/>
  <c r="D24" i="6" s="1"/>
  <c r="C25" i="6"/>
  <c r="M17" i="1"/>
  <c r="K17" i="1"/>
  <c r="N17" i="1"/>
  <c r="D17" i="1"/>
  <c r="E17" i="1" s="1"/>
  <c r="B36" i="1"/>
  <c r="G23" i="6"/>
  <c r="D18" i="2"/>
  <c r="F23" i="6" s="1"/>
  <c r="C18" i="2"/>
  <c r="M16" i="2" s="1"/>
  <c r="K16" i="1"/>
  <c r="N16" i="1"/>
  <c r="D16" i="1"/>
  <c r="E16" i="1" s="1"/>
  <c r="B35" i="1"/>
  <c r="B39" i="2" s="1"/>
  <c r="J24" i="10"/>
  <c r="K24" i="10" s="1"/>
  <c r="D27" i="10"/>
  <c r="E27" i="10" s="1"/>
  <c r="D20" i="2"/>
  <c r="F27" i="6" s="1"/>
  <c r="B58" i="6"/>
  <c r="L17" i="8"/>
  <c r="D19" i="8"/>
  <c r="G17" i="8"/>
  <c r="F35" i="5"/>
  <c r="D35" i="5"/>
  <c r="F20" i="8"/>
  <c r="G13" i="8" s="1"/>
  <c r="E11" i="8"/>
  <c r="A4" i="8"/>
  <c r="A3" i="8"/>
  <c r="A1" i="8"/>
  <c r="B50" i="6"/>
  <c r="P57" i="6"/>
  <c r="P60" i="6" s="1"/>
  <c r="P64" i="6" s="1"/>
  <c r="P66" i="6" s="1"/>
  <c r="F36" i="6" s="1"/>
  <c r="Q52" i="6"/>
  <c r="C36" i="6"/>
  <c r="S42" i="6"/>
  <c r="B66" i="6"/>
  <c r="F35" i="6"/>
  <c r="H35" i="6" s="1"/>
  <c r="F34" i="6"/>
  <c r="H34" i="6" s="1"/>
  <c r="B65" i="6"/>
  <c r="B64" i="6"/>
  <c r="B61" i="6"/>
  <c r="B54" i="6"/>
  <c r="B47" i="6"/>
  <c r="B32" i="1"/>
  <c r="B35" i="2" s="1"/>
  <c r="B52" i="6"/>
  <c r="F43" i="6"/>
  <c r="C43" i="6"/>
  <c r="D43" i="6"/>
  <c r="C45" i="6"/>
  <c r="C48" i="6"/>
  <c r="C49" i="6"/>
  <c r="C62" i="6"/>
  <c r="B41" i="6"/>
  <c r="B43" i="6"/>
  <c r="B62" i="6"/>
  <c r="G9" i="6"/>
  <c r="G10" i="6"/>
  <c r="G11" i="6"/>
  <c r="G14" i="6"/>
  <c r="G16" i="6"/>
  <c r="G19" i="6"/>
  <c r="G21" i="6"/>
  <c r="G27" i="6"/>
  <c r="G29" i="6"/>
  <c r="G30" i="6"/>
  <c r="G32" i="6"/>
  <c r="D9" i="6"/>
  <c r="D10" i="6"/>
  <c r="D11" i="6"/>
  <c r="D13" i="6" s="1"/>
  <c r="D14" i="6"/>
  <c r="D15" i="6" s="1"/>
  <c r="D16" i="6"/>
  <c r="D17" i="6"/>
  <c r="D18" i="6" s="1"/>
  <c r="D19" i="6"/>
  <c r="D20" i="6" s="1"/>
  <c r="D21" i="6"/>
  <c r="D22" i="6" s="1"/>
  <c r="D27" i="6"/>
  <c r="D29" i="6"/>
  <c r="D30" i="6"/>
  <c r="D32" i="6"/>
  <c r="C11" i="6"/>
  <c r="C14" i="6"/>
  <c r="C15" i="6" s="1"/>
  <c r="C16" i="6"/>
  <c r="C17" i="6"/>
  <c r="C18" i="6" s="1"/>
  <c r="C19" i="6"/>
  <c r="C20" i="6" s="1"/>
  <c r="C27" i="6"/>
  <c r="C28" i="6" s="1"/>
  <c r="C29" i="6"/>
  <c r="C30" i="6"/>
  <c r="P29" i="6" s="1"/>
  <c r="C32" i="6"/>
  <c r="C33" i="6" s="1"/>
  <c r="E24" i="6" s="1"/>
  <c r="A1" i="6"/>
  <c r="A3" i="6"/>
  <c r="A4" i="6"/>
  <c r="A1" i="5"/>
  <c r="A3" i="5"/>
  <c r="A4" i="5"/>
  <c r="J7" i="1"/>
  <c r="J8" i="1"/>
  <c r="K8" i="1"/>
  <c r="L8" i="1"/>
  <c r="M8" i="1"/>
  <c r="N8" i="1"/>
  <c r="O8" i="1"/>
  <c r="K9" i="1"/>
  <c r="N9" i="1"/>
  <c r="O9" i="1"/>
  <c r="M10" i="1"/>
  <c r="N10" i="1"/>
  <c r="M11" i="1"/>
  <c r="N11" i="1"/>
  <c r="M12" i="1"/>
  <c r="N12" i="1"/>
  <c r="M13" i="1"/>
  <c r="N13" i="1"/>
  <c r="M14" i="1"/>
  <c r="N14" i="1"/>
  <c r="N15" i="1"/>
  <c r="M18" i="1"/>
  <c r="N18" i="1"/>
  <c r="M19" i="1"/>
  <c r="N19" i="1"/>
  <c r="M20" i="1"/>
  <c r="N20" i="1"/>
  <c r="K21" i="1"/>
  <c r="M21" i="1"/>
  <c r="N21" i="1"/>
  <c r="K22" i="1"/>
  <c r="M22" i="1"/>
  <c r="N22" i="1"/>
  <c r="O22" i="1"/>
  <c r="D13" i="2"/>
  <c r="H38" i="2" s="1"/>
  <c r="D14" i="2" s="1"/>
  <c r="F17" i="6" s="1"/>
  <c r="D16" i="2"/>
  <c r="F19" i="6" s="1"/>
  <c r="D17" i="2"/>
  <c r="F21" i="6" s="1"/>
  <c r="D21" i="2"/>
  <c r="F29" i="6" s="1"/>
  <c r="D22" i="2"/>
  <c r="F30" i="6" s="1"/>
  <c r="D23" i="2"/>
  <c r="F32" i="6" s="1"/>
  <c r="H35" i="5"/>
  <c r="G24" i="5"/>
  <c r="G35" i="5"/>
  <c r="G34" i="5"/>
  <c r="G33" i="5"/>
  <c r="G30" i="5"/>
  <c r="G18" i="5"/>
  <c r="G17" i="5"/>
  <c r="G16" i="5"/>
  <c r="G15" i="5"/>
  <c r="G12" i="5"/>
  <c r="G11" i="5"/>
  <c r="E12" i="5"/>
  <c r="E15" i="5"/>
  <c r="E16" i="5"/>
  <c r="E17" i="5"/>
  <c r="E18" i="5"/>
  <c r="E30" i="5"/>
  <c r="E33" i="5"/>
  <c r="E34" i="5"/>
  <c r="E35" i="5"/>
  <c r="E11" i="5"/>
  <c r="D14" i="4"/>
  <c r="D15" i="4" s="1"/>
  <c r="C13" i="4"/>
  <c r="C14" i="4" s="1"/>
  <c r="E14" i="4" s="1"/>
  <c r="D12" i="4"/>
  <c r="G11" i="8" l="1"/>
  <c r="N16" i="2"/>
  <c r="N12" i="2"/>
  <c r="N20" i="2"/>
  <c r="N15" i="2"/>
  <c r="P13" i="2"/>
  <c r="N11" i="2"/>
  <c r="N17" i="2"/>
  <c r="N13" i="2"/>
  <c r="N19" i="2"/>
  <c r="N14" i="2"/>
  <c r="N21" i="2"/>
  <c r="N10" i="2"/>
  <c r="F66" i="1"/>
  <c r="N10" i="11" s="1"/>
  <c r="W13" i="13"/>
  <c r="G22" i="12"/>
  <c r="G23" i="12"/>
  <c r="E18" i="2"/>
  <c r="O16" i="2" s="1"/>
  <c r="E19" i="2"/>
  <c r="O17" i="2" s="1"/>
  <c r="E12" i="13"/>
  <c r="L16" i="13" s="1"/>
  <c r="E24" i="11"/>
  <c r="M24" i="11"/>
  <c r="K24" i="11"/>
  <c r="I24" i="11"/>
  <c r="G24" i="11"/>
  <c r="D12" i="13"/>
  <c r="K14" i="13" s="1"/>
  <c r="F12" i="13"/>
  <c r="M14" i="13" s="1"/>
  <c r="H12" i="13"/>
  <c r="O16" i="13" s="1"/>
  <c r="I12" i="13"/>
  <c r="Y17" i="13" s="1"/>
  <c r="AA17" i="13" s="1"/>
  <c r="G12" i="13"/>
  <c r="N14" i="13" s="1"/>
  <c r="M19" i="11"/>
  <c r="K19" i="11"/>
  <c r="I19" i="11"/>
  <c r="G19" i="11"/>
  <c r="M15" i="1"/>
  <c r="H25" i="6"/>
  <c r="G21" i="12"/>
  <c r="G20" i="12"/>
  <c r="E13" i="12"/>
  <c r="E12" i="12"/>
  <c r="E16" i="12"/>
  <c r="E14" i="12"/>
  <c r="E22" i="12"/>
  <c r="E21" i="12"/>
  <c r="E20" i="12"/>
  <c r="E19" i="12"/>
  <c r="E18" i="12"/>
  <c r="E17" i="12"/>
  <c r="E15" i="12"/>
  <c r="E11" i="12"/>
  <c r="E10" i="12"/>
  <c r="G19" i="12"/>
  <c r="G24" i="12"/>
  <c r="G10" i="12"/>
  <c r="G16" i="12"/>
  <c r="G11" i="12"/>
  <c r="G14" i="12"/>
  <c r="G15" i="12"/>
  <c r="G17" i="12"/>
  <c r="G12" i="12"/>
  <c r="G18" i="12"/>
  <c r="F64" i="1"/>
  <c r="C11" i="1" s="1"/>
  <c r="N30" i="11"/>
  <c r="N18" i="11" s="1"/>
  <c r="O18" i="11" s="1"/>
  <c r="I25" i="6"/>
  <c r="I26" i="6" s="1"/>
  <c r="H17" i="1"/>
  <c r="O17" i="1" s="1"/>
  <c r="L17" i="1"/>
  <c r="F70" i="1"/>
  <c r="C13" i="1" s="1"/>
  <c r="C12" i="1" s="1"/>
  <c r="K12" i="1" s="1"/>
  <c r="M23" i="11"/>
  <c r="M22" i="11"/>
  <c r="I18" i="11"/>
  <c r="M25" i="11"/>
  <c r="M30" i="11"/>
  <c r="M27" i="11"/>
  <c r="M29" i="11"/>
  <c r="I23" i="11"/>
  <c r="M28" i="11"/>
  <c r="I22" i="11"/>
  <c r="I25" i="11"/>
  <c r="I20" i="11"/>
  <c r="L31" i="11"/>
  <c r="I26" i="11"/>
  <c r="M26" i="11"/>
  <c r="I21" i="11"/>
  <c r="I28" i="11"/>
  <c r="M18" i="11"/>
  <c r="M20" i="11"/>
  <c r="K25" i="11"/>
  <c r="K20" i="11"/>
  <c r="K22" i="11"/>
  <c r="K28" i="11"/>
  <c r="K29" i="11"/>
  <c r="K21" i="11"/>
  <c r="K30" i="11"/>
  <c r="K27" i="11"/>
  <c r="K23" i="11"/>
  <c r="K26" i="11"/>
  <c r="K18" i="11"/>
  <c r="I27" i="11"/>
  <c r="I29" i="11"/>
  <c r="I30" i="11"/>
  <c r="G18" i="11"/>
  <c r="G20" i="11"/>
  <c r="G21" i="11"/>
  <c r="G22" i="11"/>
  <c r="G23" i="11"/>
  <c r="E25" i="11"/>
  <c r="E18" i="11"/>
  <c r="G25" i="11"/>
  <c r="E30" i="11"/>
  <c r="G26" i="11"/>
  <c r="G27" i="11"/>
  <c r="E29" i="11"/>
  <c r="D31" i="11"/>
  <c r="E28" i="11"/>
  <c r="G28" i="11"/>
  <c r="E27" i="11"/>
  <c r="G29" i="11"/>
  <c r="E26" i="11"/>
  <c r="G30" i="11"/>
  <c r="E23" i="11"/>
  <c r="E22" i="11"/>
  <c r="E21" i="11"/>
  <c r="F16" i="1"/>
  <c r="C23" i="6" s="1"/>
  <c r="P24" i="6" s="1"/>
  <c r="C26" i="6"/>
  <c r="E26" i="6" s="1"/>
  <c r="G12" i="8"/>
  <c r="I23" i="6"/>
  <c r="L16" i="1"/>
  <c r="K17" i="10"/>
  <c r="K18" i="10"/>
  <c r="K19" i="10"/>
  <c r="K20" i="10"/>
  <c r="K21" i="10"/>
  <c r="K22" i="10"/>
  <c r="K23" i="10"/>
  <c r="K15" i="10"/>
  <c r="K14" i="10"/>
  <c r="K16" i="10"/>
  <c r="E21" i="10"/>
  <c r="E23" i="10"/>
  <c r="E20" i="10"/>
  <c r="E25" i="10"/>
  <c r="E22" i="10"/>
  <c r="E19" i="10"/>
  <c r="E24" i="10"/>
  <c r="E17" i="10"/>
  <c r="E16" i="10"/>
  <c r="E18" i="10"/>
  <c r="E14" i="10"/>
  <c r="E15" i="10"/>
  <c r="E26" i="10"/>
  <c r="H36" i="6"/>
  <c r="G16" i="8"/>
  <c r="G15" i="8"/>
  <c r="G14" i="8"/>
  <c r="E14" i="8"/>
  <c r="E19" i="8"/>
  <c r="E18" i="8"/>
  <c r="E17" i="8"/>
  <c r="E16" i="8"/>
  <c r="E15" i="8"/>
  <c r="E13" i="8"/>
  <c r="E12" i="8"/>
  <c r="E10" i="8"/>
  <c r="G18" i="8"/>
  <c r="G19" i="8"/>
  <c r="G10" i="8"/>
  <c r="E20" i="8"/>
  <c r="G20" i="8"/>
  <c r="K31" i="6"/>
  <c r="H11" i="6"/>
  <c r="D12" i="6"/>
  <c r="H14" i="6"/>
  <c r="B49" i="6"/>
  <c r="H29" i="6"/>
  <c r="H19" i="6"/>
  <c r="H27" i="6"/>
  <c r="H21" i="6"/>
  <c r="H17" i="6"/>
  <c r="H30" i="6"/>
  <c r="H32" i="6"/>
  <c r="F16" i="6"/>
  <c r="H16" i="6" s="1"/>
  <c r="I22" i="5"/>
  <c r="I35" i="5"/>
  <c r="I11" i="5"/>
  <c r="I14" i="5"/>
  <c r="I27" i="5"/>
  <c r="I28" i="5"/>
  <c r="I29" i="5"/>
  <c r="I17" i="5"/>
  <c r="I31" i="5"/>
  <c r="I32" i="5"/>
  <c r="I33" i="5"/>
  <c r="I34" i="5"/>
  <c r="I24" i="5"/>
  <c r="I23" i="5"/>
  <c r="I12" i="5"/>
  <c r="I26" i="5"/>
  <c r="I16" i="5"/>
  <c r="I30" i="5"/>
  <c r="I19" i="5"/>
  <c r="I20" i="5"/>
  <c r="I21" i="5"/>
  <c r="I25" i="5"/>
  <c r="I13" i="5"/>
  <c r="I18" i="5"/>
  <c r="I15" i="5"/>
  <c r="E13" i="4"/>
  <c r="C15" i="4"/>
  <c r="E15" i="4" s="1"/>
  <c r="D16" i="4"/>
  <c r="D17" i="4" s="1"/>
  <c r="D18" i="4" s="1"/>
  <c r="D19" i="4" s="1"/>
  <c r="D20" i="4" s="1"/>
  <c r="D21" i="4" s="1"/>
  <c r="D22" i="4" s="1"/>
  <c r="L14" i="13" l="1"/>
  <c r="K11" i="1"/>
  <c r="W15" i="13"/>
  <c r="L15" i="13"/>
  <c r="L13" i="13"/>
  <c r="P15" i="13"/>
  <c r="N15" i="13"/>
  <c r="N16" i="13"/>
  <c r="P16" i="13"/>
  <c r="P14" i="13"/>
  <c r="N13" i="13"/>
  <c r="P13" i="13"/>
  <c r="K16" i="13"/>
  <c r="K15" i="13"/>
  <c r="K13" i="13"/>
  <c r="Y14" i="13"/>
  <c r="AA14" i="13" s="1"/>
  <c r="Y15" i="13"/>
  <c r="AA15" i="13" s="1"/>
  <c r="O14" i="13"/>
  <c r="O13" i="13"/>
  <c r="M16" i="13"/>
  <c r="Y13" i="13"/>
  <c r="AA13" i="13" s="1"/>
  <c r="Y16" i="13"/>
  <c r="AA16" i="13" s="1"/>
  <c r="M13" i="13"/>
  <c r="O15" i="13"/>
  <c r="M15" i="13"/>
  <c r="N22" i="11"/>
  <c r="O22" i="11" s="1"/>
  <c r="N26" i="11"/>
  <c r="O26" i="11" s="1"/>
  <c r="N27" i="11"/>
  <c r="O27" i="11" s="1"/>
  <c r="N25" i="11"/>
  <c r="O25" i="11" s="1"/>
  <c r="N28" i="11"/>
  <c r="O28" i="11" s="1"/>
  <c r="N21" i="11"/>
  <c r="O21" i="11" s="1"/>
  <c r="N23" i="11"/>
  <c r="N20" i="11"/>
  <c r="O20" i="11" s="1"/>
  <c r="O30" i="11"/>
  <c r="P24" i="11" s="1"/>
  <c r="H16" i="1"/>
  <c r="O16" i="1" s="1"/>
  <c r="H23" i="6"/>
  <c r="K24" i="6"/>
  <c r="M16" i="1"/>
  <c r="I24" i="6"/>
  <c r="E28" i="6"/>
  <c r="E35" i="6"/>
  <c r="E36" i="6"/>
  <c r="E20" i="6"/>
  <c r="E34" i="6"/>
  <c r="E31" i="6"/>
  <c r="E15" i="6"/>
  <c r="H33" i="6"/>
  <c r="H13" i="6"/>
  <c r="H12" i="6"/>
  <c r="E11" i="6"/>
  <c r="E18" i="6"/>
  <c r="C16" i="4"/>
  <c r="J16" i="13" l="1"/>
  <c r="J14" i="13"/>
  <c r="J13" i="13"/>
  <c r="J15" i="13"/>
  <c r="N29" i="11"/>
  <c r="O29" i="11" s="1"/>
  <c r="O31" i="11"/>
  <c r="P19" i="11"/>
  <c r="C10" i="1"/>
  <c r="K10" i="1" s="1"/>
  <c r="O23" i="11"/>
  <c r="C17" i="4"/>
  <c r="E16" i="4"/>
  <c r="C18" i="4" l="1"/>
  <c r="E17" i="4"/>
  <c r="C19" i="4" l="1"/>
  <c r="E18" i="4"/>
  <c r="C20" i="4" l="1"/>
  <c r="E19" i="4"/>
  <c r="C21" i="4" l="1"/>
  <c r="E20" i="4"/>
  <c r="C22" i="4" l="1"/>
  <c r="E22" i="4" s="1"/>
  <c r="E21" i="4"/>
  <c r="F15" i="3" l="1"/>
  <c r="F13" i="3"/>
  <c r="D13" i="3"/>
  <c r="H15" i="3"/>
  <c r="D18" i="3"/>
  <c r="C18" i="3"/>
  <c r="E18" i="3"/>
  <c r="A4" i="3"/>
  <c r="A3" i="3"/>
  <c r="A1" i="3"/>
  <c r="C54" i="1"/>
  <c r="C56" i="1" s="1"/>
  <c r="B30" i="1"/>
  <c r="B31" i="1"/>
  <c r="B33" i="1"/>
  <c r="B51" i="6" s="1"/>
  <c r="B34" i="1"/>
  <c r="B53" i="6" s="1"/>
  <c r="B37" i="1"/>
  <c r="B57" i="6" s="1"/>
  <c r="B38" i="1"/>
  <c r="B39" i="1"/>
  <c r="B29" i="1"/>
  <c r="B45" i="6" s="1"/>
  <c r="D12" i="1"/>
  <c r="A1" i="2"/>
  <c r="A3" i="2"/>
  <c r="A4" i="2"/>
  <c r="C10" i="2"/>
  <c r="M10" i="2" s="1"/>
  <c r="C12" i="2"/>
  <c r="C13" i="2"/>
  <c r="C23" i="2"/>
  <c r="M21" i="2" s="1"/>
  <c r="C24" i="2"/>
  <c r="B27" i="2"/>
  <c r="B29" i="2"/>
  <c r="C29" i="2"/>
  <c r="C30" i="2"/>
  <c r="B37" i="2"/>
  <c r="C37" i="2"/>
  <c r="C38" i="2"/>
  <c r="C41" i="2"/>
  <c r="C42" i="2"/>
  <c r="C43" i="2"/>
  <c r="B44" i="2"/>
  <c r="C44" i="2"/>
  <c r="B45" i="2"/>
  <c r="C45" i="2"/>
  <c r="D10" i="1"/>
  <c r="D11" i="1"/>
  <c r="D21" i="1"/>
  <c r="D22" i="1"/>
  <c r="E14" i="1"/>
  <c r="I19" i="6" s="1"/>
  <c r="I20" i="6" s="1"/>
  <c r="E15" i="1"/>
  <c r="I21" i="6" s="1"/>
  <c r="I22" i="6" s="1"/>
  <c r="E18" i="1"/>
  <c r="I27" i="6" s="1"/>
  <c r="I28" i="6" s="1"/>
  <c r="Y8" i="13" s="1"/>
  <c r="V19" i="13" s="1"/>
  <c r="E19" i="1"/>
  <c r="I29" i="6" s="1"/>
  <c r="E20" i="1"/>
  <c r="I30" i="6" s="1"/>
  <c r="I31" i="6" s="1"/>
  <c r="C19" i="1"/>
  <c r="C14" i="1"/>
  <c r="W16" i="13" s="1"/>
  <c r="C20" i="1"/>
  <c r="F28" i="1"/>
  <c r="C44" i="6" s="1"/>
  <c r="E28" i="1"/>
  <c r="F9" i="1"/>
  <c r="M9" i="1" s="1"/>
  <c r="E9" i="1"/>
  <c r="E24" i="2" l="1"/>
  <c r="O22" i="2" s="1"/>
  <c r="M22" i="2"/>
  <c r="E13" i="2"/>
  <c r="O12" i="2" s="1"/>
  <c r="M12" i="2"/>
  <c r="E12" i="2"/>
  <c r="O11" i="2" s="1"/>
  <c r="M11" i="2"/>
  <c r="E23" i="2"/>
  <c r="O21" i="2" s="1"/>
  <c r="W17" i="13"/>
  <c r="V17" i="13"/>
  <c r="V16" i="13"/>
  <c r="V13" i="13"/>
  <c r="V14" i="13"/>
  <c r="V15" i="13"/>
  <c r="B31" i="2"/>
  <c r="B41" i="2"/>
  <c r="B34" i="2"/>
  <c r="B48" i="6"/>
  <c r="B33" i="2"/>
  <c r="B46" i="6"/>
  <c r="B38" i="2"/>
  <c r="B43" i="2"/>
  <c r="B60" i="6"/>
  <c r="B42" i="2"/>
  <c r="B59" i="6"/>
  <c r="H18" i="1"/>
  <c r="O18" i="1" s="1"/>
  <c r="L18" i="1"/>
  <c r="H20" i="1"/>
  <c r="O20" i="1" s="1"/>
  <c r="L20" i="1"/>
  <c r="H15" i="1"/>
  <c r="O15" i="1" s="1"/>
  <c r="L15" i="1"/>
  <c r="H14" i="1"/>
  <c r="O14" i="1" s="1"/>
  <c r="L14" i="1"/>
  <c r="H19" i="1"/>
  <c r="O19" i="1" s="1"/>
  <c r="L19" i="1"/>
  <c r="L9" i="1"/>
  <c r="C22" i="2"/>
  <c r="K20" i="1"/>
  <c r="C20" i="2"/>
  <c r="M18" i="2" s="1"/>
  <c r="K18" i="1"/>
  <c r="C17" i="2"/>
  <c r="K15" i="1"/>
  <c r="C16" i="2"/>
  <c r="K14" i="1"/>
  <c r="D13" i="1"/>
  <c r="C21" i="2"/>
  <c r="K19" i="1"/>
  <c r="E10" i="1"/>
  <c r="E11" i="1"/>
  <c r="E22" i="1"/>
  <c r="C14" i="2"/>
  <c r="K13" i="1"/>
  <c r="E10" i="2"/>
  <c r="O10" i="2" s="1"/>
  <c r="E12" i="1"/>
  <c r="I16" i="6" s="1"/>
  <c r="C23" i="1"/>
  <c r="K23" i="1" s="1"/>
  <c r="E21" i="1"/>
  <c r="F18" i="3"/>
  <c r="F19" i="3" s="1"/>
  <c r="D19" i="3"/>
  <c r="V18" i="13" l="1"/>
  <c r="E21" i="2"/>
  <c r="O19" i="2" s="1"/>
  <c r="M19" i="2"/>
  <c r="E17" i="2"/>
  <c r="O15" i="2" s="1"/>
  <c r="M15" i="2"/>
  <c r="E14" i="2"/>
  <c r="O13" i="2" s="1"/>
  <c r="M13" i="2"/>
  <c r="E16" i="2"/>
  <c r="O14" i="2" s="1"/>
  <c r="M14" i="2"/>
  <c r="E22" i="2"/>
  <c r="O20" i="2" s="1"/>
  <c r="M20" i="2"/>
  <c r="E20" i="2"/>
  <c r="O18" i="2" s="1"/>
  <c r="H33" i="12"/>
  <c r="H38" i="12"/>
  <c r="Z15" i="13"/>
  <c r="X15" i="13"/>
  <c r="AB15" i="13"/>
  <c r="AB14" i="13"/>
  <c r="X14" i="13"/>
  <c r="Z14" i="13"/>
  <c r="Z13" i="13"/>
  <c r="AB13" i="13"/>
  <c r="X13" i="13"/>
  <c r="AB16" i="13"/>
  <c r="Z16" i="13"/>
  <c r="X16" i="13"/>
  <c r="AB17" i="13"/>
  <c r="Z17" i="13"/>
  <c r="X17" i="13"/>
  <c r="L21" i="1"/>
  <c r="I32" i="6"/>
  <c r="I33" i="6" s="1"/>
  <c r="L10" i="1"/>
  <c r="I11" i="6"/>
  <c r="L11" i="1"/>
  <c r="I14" i="6"/>
  <c r="I15" i="6" s="1"/>
  <c r="H11" i="1"/>
  <c r="O11" i="1" s="1"/>
  <c r="C25" i="2"/>
  <c r="M23" i="2" s="1"/>
  <c r="H10" i="1"/>
  <c r="O10" i="1" s="1"/>
  <c r="L12" i="1"/>
  <c r="L22" i="1"/>
  <c r="H21" i="1"/>
  <c r="O21" i="1" s="1"/>
  <c r="H12" i="1"/>
  <c r="O12" i="1" s="1"/>
  <c r="E13" i="1"/>
  <c r="E25" i="2" l="1"/>
  <c r="O23" i="2" s="1"/>
  <c r="Z19" i="13"/>
  <c r="Z20" i="13" s="1"/>
  <c r="AB19" i="13"/>
  <c r="AB20" i="13" s="1"/>
  <c r="L13" i="1"/>
  <c r="I17" i="6"/>
  <c r="H13" i="1"/>
  <c r="O13" i="1" s="1"/>
  <c r="E22" i="6"/>
  <c r="I18" i="6" l="1"/>
  <c r="L18" i="6" s="1"/>
  <c r="P29" i="11"/>
</calcChain>
</file>

<file path=xl/sharedStrings.xml><?xml version="1.0" encoding="utf-8"?>
<sst xmlns="http://schemas.openxmlformats.org/spreadsheetml/2006/main" count="1159" uniqueCount="511">
  <si>
    <t>Proprietary. © H. Mathiesen. This material can be used by others free of charge provided that the author H. Mathiesen is attributed and a clickable link is made visible to the location of used material on www.hmexperience.dk</t>
  </si>
  <si>
    <t>Sources to all information used in this spreadsheet can also be found in associated PowerPoint presentation located also at www.hmexperience.dk</t>
  </si>
  <si>
    <t>Material type</t>
  </si>
  <si>
    <t xml:space="preserve">Global production </t>
  </si>
  <si>
    <t>Data year</t>
  </si>
  <si>
    <t>Global 100M BEVs</t>
  </si>
  <si>
    <t>Used parameters</t>
  </si>
  <si>
    <t xml:space="preserve">Tesla 20M BEVs </t>
  </si>
  <si>
    <t>in kg per vehicle</t>
  </si>
  <si>
    <t>in tons</t>
  </si>
  <si>
    <t xml:space="preserve">1 average BEV </t>
  </si>
  <si>
    <t>Tesla vehibles by 2030</t>
  </si>
  <si>
    <t>Global BEV vehibles by 2031?</t>
  </si>
  <si>
    <t>Sources and attribution</t>
  </si>
  <si>
    <t>https://www.mining.com/all-the-mines-tesla-needs-to-build-20-million-cars-a-year/</t>
  </si>
  <si>
    <t>-</t>
  </si>
  <si>
    <t>Ton to kg</t>
  </si>
  <si>
    <t>Other textile and plastic</t>
  </si>
  <si>
    <t>My own estimate</t>
  </si>
  <si>
    <t>https://www.statista.com/statistics/1187186/global-rare-earths-mine-production/</t>
  </si>
  <si>
    <t>year</t>
  </si>
  <si>
    <t xml:space="preserve">Data </t>
  </si>
  <si>
    <t>https://www.mining-technology.com/comment/global-copper-output-grow/</t>
  </si>
  <si>
    <t>https://worldsteel.org/steel-topics/statistics/world-steel-in-figures-2022/</t>
  </si>
  <si>
    <t>global production</t>
  </si>
  <si>
    <t>Total vehicle weight</t>
  </si>
  <si>
    <t xml:space="preserve">One average BEV </t>
  </si>
  <si>
    <t>https://www.mining.com/web/graphite-deficit-starting-this-year-as-demand-for-ev-battery-anode-ingredient-exceeds-supply/#:~:text=Graphite%20is%20thus%20considered%20indispensable,containing%2020%2D30%25%20graphite.</t>
  </si>
  <si>
    <t>https://natural-resources.canada.ca/our-natural-resources/minerals-mining/minerals-metals-facts/graphite-facts/24027</t>
  </si>
  <si>
    <r>
      <rPr>
        <b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 xml:space="preserve"> graphite is both mined at 1.1 million tons per year and made synthetically at about 2.2 million tons per year </t>
    </r>
  </si>
  <si>
    <t>Price per kg</t>
  </si>
  <si>
    <t>material in BEV</t>
  </si>
  <si>
    <t xml:space="preserve">Price USD of needed </t>
  </si>
  <si>
    <t xml:space="preserve">Date of </t>
  </si>
  <si>
    <t>price info</t>
  </si>
  <si>
    <t>https://tradingeconomics.com/commodity/nickel</t>
  </si>
  <si>
    <t xml:space="preserve">Price in USD </t>
  </si>
  <si>
    <t xml:space="preserve">per kg </t>
  </si>
  <si>
    <t>https://www.visualcapitalist.com/visualizing-25-years-of-lithium-production-by-country/</t>
  </si>
  <si>
    <r>
      <rPr>
        <b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 xml:space="preserve"> this is measured in tons of lithium carbonate equivalent (not all mined lithium is lithium carbonate, today much is mined as spodumene rock that is processed to lithium hydroxide</t>
    </r>
  </si>
  <si>
    <t>https://www.quora.com/How-much-lithium-in-kg-is-used-in-an-electric-car</t>
  </si>
  <si>
    <t>https://tradingeconomics.com/commodity/lithium</t>
  </si>
  <si>
    <t>kg to lbs</t>
  </si>
  <si>
    <t xml:space="preserve">CNY to USD </t>
  </si>
  <si>
    <t>https://moneyexchangerate.org/currencyexchange/cny/usd/</t>
  </si>
  <si>
    <t>https://tradingeconomics.com/commodity/cobalt</t>
  </si>
  <si>
    <t>https://tradingeconomics.com/commodity/copper</t>
  </si>
  <si>
    <t>https://tradingeconomics.com/commodity/manganese</t>
  </si>
  <si>
    <t>https://tradingeconomics.com/commodity/neodymium</t>
  </si>
  <si>
    <t>Note price of neodymium is used because this is the most used metal in magnets</t>
  </si>
  <si>
    <t>https://tradingeconomics.com/commodity/aluminum</t>
  </si>
  <si>
    <t>https://tradingeconomics.com/commodity/steel</t>
  </si>
  <si>
    <t>Crude steel https://kdmfab.com/mild-steel-vs-stainless-steel/</t>
  </si>
  <si>
    <t>My guestimate</t>
  </si>
  <si>
    <t xml:space="preserve">Lithium carbonate or equivalent </t>
  </si>
  <si>
    <t>Total cost</t>
  </si>
  <si>
    <t xml:space="preserve">Price in </t>
  </si>
  <si>
    <t>https://www.alibaba.com/product-detail/High-purity-99-95-nano-graphite_10000000439969.html</t>
  </si>
  <si>
    <t>Battery pack contain 8% copper</t>
  </si>
  <si>
    <t>https://cambridgehouse.com/news/8707/how-evs-will-forever-change-the-copper-landscape#:~:text=Average%20ICEs%20contain%2018%2D49%20pounds%20of%20copper</t>
  </si>
  <si>
    <t>https://www.uetechnologies.com/how-much-does-a-tesla-battery-weigh/</t>
  </si>
  <si>
    <t>Weight of tesla model Y long range in kg</t>
  </si>
  <si>
    <t xml:space="preserve">So copper in kg is </t>
  </si>
  <si>
    <t>Copper used in motor</t>
  </si>
  <si>
    <t>In % of current</t>
  </si>
  <si>
    <t>Where copper is used</t>
  </si>
  <si>
    <t>(new technology applied)</t>
  </si>
  <si>
    <t>All wheel drive vehicles (two motors)</t>
  </si>
  <si>
    <t>Rear wheel drive vehicles (one motor)</t>
  </si>
  <si>
    <t>Current Model 3/Y like BEV</t>
  </si>
  <si>
    <t>Next gen Model 3/Y like BEV</t>
  </si>
  <si>
    <t>Wire harness tech</t>
  </si>
  <si>
    <t>Rear motor  tech</t>
  </si>
  <si>
    <t>Front motor tech</t>
  </si>
  <si>
    <t>Reduction in percentage</t>
  </si>
  <si>
    <t>Wire harness copper in kg</t>
  </si>
  <si>
    <t>Rear motor copper in kg</t>
  </si>
  <si>
    <t>Total copper use in kg</t>
  </si>
  <si>
    <t>12V copper wires</t>
  </si>
  <si>
    <t>48V, partial aluminium wires</t>
  </si>
  <si>
    <t>900V PM no rare earth</t>
  </si>
  <si>
    <t>Front motor copper in kg</t>
  </si>
  <si>
    <t>Battery pack copper in kg</t>
  </si>
  <si>
    <t>400V permanent magnet</t>
  </si>
  <si>
    <t>400V induction motor</t>
  </si>
  <si>
    <t>volt</t>
  </si>
  <si>
    <t>1 kg of lithium carbonate contains about 188.68 g of lithium metal.</t>
  </si>
  <si>
    <t>Source</t>
  </si>
  <si>
    <t>https://www.thoughtco.com/lithium-production-2340123</t>
  </si>
  <si>
    <t>https://www.statista.com/statistics/606684/world-production-of-lithium/?ssp=1&amp;darkschemeovr=1&amp;setlang=en-XL&amp;safesearch=moderate</t>
  </si>
  <si>
    <t>Price of lithium metal is</t>
  </si>
  <si>
    <t>USD</t>
  </si>
  <si>
    <t>Year</t>
  </si>
  <si>
    <t>Production tons</t>
  </si>
  <si>
    <t>Annual growth %</t>
  </si>
  <si>
    <t>Multiplier</t>
  </si>
  <si>
    <t xml:space="preserve">Production </t>
  </si>
  <si>
    <t xml:space="preserve">Argentina </t>
  </si>
  <si>
    <t xml:space="preserve">Australia </t>
  </si>
  <si>
    <t xml:space="preserve">Austria </t>
  </si>
  <si>
    <t xml:space="preserve">Bolivia </t>
  </si>
  <si>
    <t xml:space="preserve">Brazil </t>
  </si>
  <si>
    <t xml:space="preserve">Canada </t>
  </si>
  <si>
    <t xml:space="preserve">Chile </t>
  </si>
  <si>
    <t xml:space="preserve">China </t>
  </si>
  <si>
    <t xml:space="preserve">Czech Republic </t>
  </si>
  <si>
    <t xml:space="preserve">DR Congo </t>
  </si>
  <si>
    <t xml:space="preserve">Finland </t>
  </si>
  <si>
    <t xml:space="preserve">Germany </t>
  </si>
  <si>
    <t xml:space="preserve">Ghana </t>
  </si>
  <si>
    <t xml:space="preserve">India </t>
  </si>
  <si>
    <t xml:space="preserve">Kazakhstan </t>
  </si>
  <si>
    <t xml:space="preserve">Mali </t>
  </si>
  <si>
    <t xml:space="preserve">Mexico </t>
  </si>
  <si>
    <t xml:space="preserve">Namibia </t>
  </si>
  <si>
    <t xml:space="preserve">Peru </t>
  </si>
  <si>
    <t xml:space="preserve">Portugal </t>
  </si>
  <si>
    <t xml:space="preserve">Serbia </t>
  </si>
  <si>
    <t xml:space="preserve">Spain </t>
  </si>
  <si>
    <t xml:space="preserve">United States </t>
  </si>
  <si>
    <t xml:space="preserve">Zimbabwe </t>
  </si>
  <si>
    <t xml:space="preserve">World total </t>
  </si>
  <si>
    <t>Lithium production (2020), reserves and resources in tons</t>
  </si>
  <si>
    <t>Country</t>
  </si>
  <si>
    <t>Resources</t>
  </si>
  <si>
    <t>% of total</t>
  </si>
  <si>
    <t xml:space="preserve">Reserves </t>
  </si>
  <si>
    <t>Own table source: https://en.wikipedia.org/wiki/Lithium#Production</t>
  </si>
  <si>
    <t>100M BEVs</t>
  </si>
  <si>
    <t>Raw materials needed to make 100 million BEVs per year if no innovation</t>
  </si>
  <si>
    <t>Price of raw materials needed to make battery electric vehicles</t>
  </si>
  <si>
    <t>Needed growth of lithium production in metal equivalents</t>
  </si>
  <si>
    <t>Iron ore needed 50%</t>
  </si>
  <si>
    <t>Iron ore needed at 50%</t>
  </si>
  <si>
    <t>https://www.britannica.com/technology/iron-processing/Ores</t>
  </si>
  <si>
    <t>kg to ton</t>
  </si>
  <si>
    <t>Million</t>
  </si>
  <si>
    <t>https://tradingeconomics.com/commodity/iron-ore</t>
  </si>
  <si>
    <t>In % of</t>
  </si>
  <si>
    <t>iron ore</t>
  </si>
  <si>
    <t>https://en.wikipedia.org/wiki/Copper_extraction#Concentration_(beneficiation)</t>
  </si>
  <si>
    <t>Copper ore at 0.6%</t>
  </si>
  <si>
    <t>of which is synthesized graphite</t>
  </si>
  <si>
    <t>of which is mined graphite</t>
  </si>
  <si>
    <t>https://www.ga.gov.au/education/classroom-resources/minerals-energy/australian-mineral-facts/nickel#:~:text=After%20mining%2C%20nickel%20ores%20are%20further%20processed%20to,minerals%20using%20various%20physical%20and%20chemical%20processing%20methods.</t>
  </si>
  <si>
    <t xml:space="preserve">Note graphite is both mined at 1.1 million tons per year and made synthetically at about 2.2 million tons per year </t>
  </si>
  <si>
    <t>Note this is measured in tons of lithium carbonate equivalent (not all mined lithium is lithium carbonate, today much is mined as spodumene rock that is processed to lithium hydroxide</t>
  </si>
  <si>
    <t>Manganese ore at 30%</t>
  </si>
  <si>
    <t>https://geology.com/usgs/manganese/</t>
  </si>
  <si>
    <t>https://www.statista.com/statistics/339759/global-cobalt-mine-production/</t>
  </si>
  <si>
    <t>https://www.statista.com/statistics/799538/global-bauxite-production/</t>
  </si>
  <si>
    <t xml:space="preserve">Aluminium content in aluminium ore </t>
  </si>
  <si>
    <t>https://www.kitco.com/news/2023-02-06/Global-nickel-production-up-21-in-2022-as-Indonesian-output-jumps-54.html</t>
  </si>
  <si>
    <t>https://www.iea.org/data-and-statistics/charts/global-coal-production-2018-2021</t>
  </si>
  <si>
    <t>https://tradingeconomics.com/commodity/coal</t>
  </si>
  <si>
    <t>https://www.statista.com/statistics/265229/global-oil-production-in-million-metric-tons/</t>
  </si>
  <si>
    <t>Price of coal Newcastle coal futures in USD/tons</t>
  </si>
  <si>
    <t>Date</t>
  </si>
  <si>
    <t>Price of crude oil WTI crude futures</t>
  </si>
  <si>
    <t>USD/barrel</t>
  </si>
  <si>
    <t>https://tradingeconomics.com/commodity/crude-oil</t>
  </si>
  <si>
    <t>Price</t>
  </si>
  <si>
    <t>USD/kg</t>
  </si>
  <si>
    <t>Global sales</t>
  </si>
  <si>
    <t>million USD</t>
  </si>
  <si>
    <t xml:space="preserve"># of barrels in a ton </t>
  </si>
  <si>
    <t>https://www.linkedin.com/pulse/why-we-say-1-ton-crude-oil-equals-733-barrels-seraph-liu/</t>
  </si>
  <si>
    <t>Parameters</t>
  </si>
  <si>
    <t>https://www.statista.com/statistics/265344/total-global-natural-gas-production-since-1998/</t>
  </si>
  <si>
    <t>Annual global natural gas production in billion cubic meters</t>
  </si>
  <si>
    <t>B/m3</t>
  </si>
  <si>
    <t>Convert 1 billion m3 of natural gas to x barrels of oil equivalent</t>
  </si>
  <si>
    <t>https://www.omnicalculator.com/conversion/natural-gas-converter</t>
  </si>
  <si>
    <t>Production and</t>
  </si>
  <si>
    <t>mining in tons</t>
  </si>
  <si>
    <t>Natural gas price UK GBP in GBp/thm</t>
  </si>
  <si>
    <t>https://tradingeconomics.com/commodity/uk-natural-gas</t>
  </si>
  <si>
    <t>GBp/thm</t>
  </si>
  <si>
    <t>Convert 1 GBp to USD</t>
  </si>
  <si>
    <t>Natural gas price in USD/thm</t>
  </si>
  <si>
    <t>USD/thm</t>
  </si>
  <si>
    <t>https://www.xe.com/currencyconverter/convert/?Amount=1&amp;From=GBP&amp;To=USD</t>
  </si>
  <si>
    <t>Convert 1 barrels of oil equivalent to x thm</t>
  </si>
  <si>
    <t>Express the price of natural gas traded in GBp/thm but in terms of USD/barrel of oil equivalent</t>
  </si>
  <si>
    <t>USD/barrel of oil eqivalent</t>
  </si>
  <si>
    <t>Express the price of natural gas traded in GBp/thm but in terms of USD/kg</t>
  </si>
  <si>
    <t>for 100M BEVs</t>
  </si>
  <si>
    <t>Materials tons</t>
  </si>
  <si>
    <t>https://www.911metallurgist.com/blog/froth-flotation-spodumene-processing-lithium-extraction</t>
  </si>
  <si>
    <t>Note: “how much lithium in percent of Li2O” prompt Bing ai and you get 30% and the exact calculation and 30% of 6% is 2% lithium in spodumene ore</t>
  </si>
  <si>
    <r>
      <t xml:space="preserve">Rare earth </t>
    </r>
    <r>
      <rPr>
        <sz val="11"/>
        <color theme="1"/>
        <rFont val="Calibri"/>
        <family val="2"/>
        <scheme val="minor"/>
      </rPr>
      <t xml:space="preserve">(fx </t>
    </r>
    <r>
      <rPr>
        <b/>
        <sz val="11"/>
        <color theme="1"/>
        <rFont val="Calibri"/>
        <family val="2"/>
        <scheme val="minor"/>
      </rPr>
      <t>Nd</t>
    </r>
    <r>
      <rPr>
        <sz val="11"/>
        <color theme="1"/>
        <rFont val="Calibri"/>
        <family val="2"/>
        <scheme val="minor"/>
      </rPr>
      <t>, Pr, Dy, Tb)</t>
    </r>
  </si>
  <si>
    <r>
      <t xml:space="preserve">Copper </t>
    </r>
    <r>
      <rPr>
        <sz val="11"/>
        <color theme="1"/>
        <rFont val="Calibri"/>
        <family val="2"/>
        <scheme val="minor"/>
      </rPr>
      <t>(battery, motor, wires)</t>
    </r>
  </si>
  <si>
    <r>
      <t xml:space="preserve">Aluminum </t>
    </r>
    <r>
      <rPr>
        <sz val="11"/>
        <color theme="1"/>
        <rFont val="Calibri"/>
        <family val="2"/>
        <scheme val="minor"/>
      </rPr>
      <t>(vehicle GM Volt))</t>
    </r>
  </si>
  <si>
    <r>
      <t xml:space="preserve">Crude steel </t>
    </r>
    <r>
      <rPr>
        <sz val="11"/>
        <color theme="1"/>
        <rFont val="Calibri"/>
        <family val="2"/>
        <scheme val="minor"/>
      </rPr>
      <t>(98% Fe/Iron)</t>
    </r>
  </si>
  <si>
    <t>https://international-aluminium.org/statistics/primary-aluminium-production/</t>
  </si>
  <si>
    <r>
      <t xml:space="preserve">Coal </t>
    </r>
    <r>
      <rPr>
        <sz val="11"/>
        <color theme="1"/>
        <rFont val="Calibri"/>
        <family val="2"/>
        <scheme val="minor"/>
      </rPr>
      <t>(price is Newcastle Europe)</t>
    </r>
  </si>
  <si>
    <r>
      <t>Oil</t>
    </r>
    <r>
      <rPr>
        <sz val="11"/>
        <color theme="1"/>
        <rFont val="Calibri"/>
        <family val="2"/>
        <scheme val="minor"/>
      </rPr>
      <t xml:space="preserve"> (price is WTI US crude)</t>
    </r>
  </si>
  <si>
    <r>
      <t>Gas</t>
    </r>
    <r>
      <rPr>
        <sz val="11"/>
        <color theme="1"/>
        <rFont val="Calibri"/>
        <family val="2"/>
        <scheme val="minor"/>
      </rPr>
      <t xml:space="preserve"> (price is UK natural gas)</t>
    </r>
  </si>
  <si>
    <t>Indonesia</t>
  </si>
  <si>
    <t xml:space="preserve">Source for nickel reserves: </t>
  </si>
  <si>
    <t>https://www.statista.com/statistics/273634/nickel-reserves-worldwide-by-country/</t>
  </si>
  <si>
    <t>Russia</t>
  </si>
  <si>
    <t>New Caledonia</t>
  </si>
  <si>
    <t>Other countries</t>
  </si>
  <si>
    <t>Source for nickel production:</t>
  </si>
  <si>
    <t>https://investingnews.com/daily/resource-investing/base-metals-investing/nickel-investing/top-nickel-producing-countries/</t>
  </si>
  <si>
    <t>https://www.universaltradingscri.com/top-9-nickel-producing-countries-updated-2022/</t>
  </si>
  <si>
    <t>Source for global nickel production in 2022</t>
  </si>
  <si>
    <t>Nickel production and reserves in tons in 2022/2021</t>
  </si>
  <si>
    <t>First Use</t>
  </si>
  <si>
    <t>Percentage</t>
  </si>
  <si>
    <t>Stainless Steel</t>
  </si>
  <si>
    <t>Batteries</t>
  </si>
  <si>
    <t>Non-Ferrous Alloys</t>
  </si>
  <si>
    <t>Plating</t>
  </si>
  <si>
    <t>Alloy Steels</t>
  </si>
  <si>
    <t>Foundry</t>
  </si>
  <si>
    <t>Other</t>
  </si>
  <si>
    <t xml:space="preserve">Source: </t>
  </si>
  <si>
    <t>https://nickelinstitute.org/en/about-nickel-and-its-applications/#04-first-use-nickel</t>
  </si>
  <si>
    <t>Total</t>
  </si>
  <si>
    <t>Consumption of nickel first use in 2021</t>
  </si>
  <si>
    <t>https://www.youtube.com/watch?v=l6T9xIeZTds&amp;t=4628s</t>
  </si>
  <si>
    <t>Timestamp: 1:18:11</t>
  </si>
  <si>
    <t>Cobalt ore at 0.2%</t>
  </si>
  <si>
    <t xml:space="preserve">Magnesium Mg </t>
  </si>
  <si>
    <t xml:space="preserve">Turkey </t>
  </si>
  <si>
    <t xml:space="preserve">Russia </t>
  </si>
  <si>
    <t xml:space="preserve">Greece </t>
  </si>
  <si>
    <t xml:space="preserve">Slovakia </t>
  </si>
  <si>
    <t xml:space="preserve">Iran </t>
  </si>
  <si>
    <t xml:space="preserve">Rest of the world </t>
  </si>
  <si>
    <t>Global magnesite mine production in tons in 2022</t>
  </si>
  <si>
    <t>Global production</t>
  </si>
  <si>
    <t>China</t>
  </si>
  <si>
    <t>Israel</t>
  </si>
  <si>
    <t>Global magnesium production in tons in 2018</t>
  </si>
  <si>
    <t>Iran</t>
  </si>
  <si>
    <t>Ukraine</t>
  </si>
  <si>
    <t>Brazil</t>
  </si>
  <si>
    <t>Turkey</t>
  </si>
  <si>
    <t>South Korea</t>
  </si>
  <si>
    <t>https://en.wikipedia.org/wiki/List_of_countries_by_magnesium_production</t>
  </si>
  <si>
    <t>Source for 1 million ton production in 2022</t>
  </si>
  <si>
    <t>https://www.statista.com/statistics/569515/primary-magnesium-production-worldwide/</t>
  </si>
  <si>
    <t>Source:</t>
  </si>
  <si>
    <t>https://www.statista.com/statistics/264954/world-magnesium-production/</t>
  </si>
  <si>
    <t>https://www.intlmag.org/general/custom.asp?page=app_automotive_ima</t>
  </si>
  <si>
    <r>
      <t>Magnesium</t>
    </r>
    <r>
      <rPr>
        <sz val="11"/>
        <color theme="1"/>
        <rFont val="Calibri"/>
        <family val="2"/>
        <scheme val="minor"/>
      </rPr>
      <t xml:space="preserve"> (VW Beetle)</t>
    </r>
  </si>
  <si>
    <t>https://tradingeconomics.com/commodity/magnesium</t>
  </si>
  <si>
    <t>https://stockhouse.com/news/newswire/2015/05/19/how-much-copper-and-zinc-average-vehicle</t>
  </si>
  <si>
    <t>https://www.statista.com/statistics/264878/world-production-of-zinc-metal/</t>
  </si>
  <si>
    <r>
      <t>Zinc</t>
    </r>
    <r>
      <rPr>
        <sz val="11"/>
        <color theme="1"/>
        <rFont val="Calibri"/>
        <family val="2"/>
        <scheme val="minor"/>
      </rPr>
      <t xml:space="preserve"> (rust protection battery etc)</t>
    </r>
  </si>
  <si>
    <t>Zinc ore at 5%</t>
  </si>
  <si>
    <t>https://www.britannica.com/technology/zinc-processing/Ores</t>
  </si>
  <si>
    <t>Price in USD</t>
  </si>
  <si>
    <t>https://chem.libretexts.org/Ancillary_Materials/Laboratory_Experiments/Wet_Lab_Experiments/Analytical_Chemistry_Labs/Determination_of_the_Mn_Content_of_Steel</t>
  </si>
  <si>
    <r>
      <t>Manganese</t>
    </r>
    <r>
      <rPr>
        <sz val="11"/>
        <color theme="1"/>
        <rFont val="Calibri"/>
        <family val="2"/>
        <scheme val="minor"/>
      </rPr>
      <t xml:space="preserve"> (batteries, steel 1%)</t>
    </r>
  </si>
  <si>
    <t>Nickel ore at 1.2%</t>
  </si>
  <si>
    <t>Lithium ore at 0.7%</t>
  </si>
  <si>
    <t>2nd source</t>
  </si>
  <si>
    <t>ore %</t>
  </si>
  <si>
    <t xml:space="preserve">Magnesium ore at 3.86% </t>
  </si>
  <si>
    <t>magnesite</t>
  </si>
  <si>
    <t xml:space="preserve">Tesla at battery day say 20% of their nickel rich battery cells is nickel </t>
  </si>
  <si>
    <t>See notes below</t>
  </si>
  <si>
    <t>Timestamp 1:18:11</t>
  </si>
  <si>
    <t>Tesla model Y long rangeuse 4416 battery cells of the 2170 type in a 75kWh battery</t>
  </si>
  <si>
    <t>https://themotordigest.com/how-much-do-tesla-batteries-weigh/</t>
  </si>
  <si>
    <t>Tesla 2170 cell weight 70 grams</t>
  </si>
  <si>
    <t>https://cleantechnica.com/2019/01/28/tesla-model-3-battery-pack-cell-teardown-highlights-performance-improvements/</t>
  </si>
  <si>
    <t>Calculate the kg of nickel used in a Tesla model Y long range</t>
  </si>
  <si>
    <t>kg</t>
  </si>
  <si>
    <t>Calculate the kg of lithium used in a Tesla model Y long range</t>
  </si>
  <si>
    <t>Tesla at battery day say 2% of their nickel rich battery cells is cobalt</t>
  </si>
  <si>
    <t>Calculate the kg of cobalt used in a Tesla model Y long range</t>
  </si>
  <si>
    <t>kg of litium carbonate equivalent for 1kg of lithium metal</t>
  </si>
  <si>
    <t>tons</t>
  </si>
  <si>
    <t>CYN tons</t>
  </si>
  <si>
    <t xml:space="preserve">NMC811 </t>
  </si>
  <si>
    <t xml:space="preserve">NMC523 </t>
  </si>
  <si>
    <t xml:space="preserve">NMC622 </t>
  </si>
  <si>
    <t xml:space="preserve">LFP </t>
  </si>
  <si>
    <t xml:space="preserve">Nickel Cobalt </t>
  </si>
  <si>
    <t xml:space="preserve">Lithium iron </t>
  </si>
  <si>
    <t xml:space="preserve">phosphate </t>
  </si>
  <si>
    <t xml:space="preserve">Oxide </t>
  </si>
  <si>
    <t>https://elements.visualcapitalist.com/the-key-minerals-in-an-ev-battery/</t>
  </si>
  <si>
    <t>Raw material use for most commonly used BEV battery chemistries</t>
  </si>
  <si>
    <t>Nickel 80%</t>
  </si>
  <si>
    <t>The name of the battery chemistry typically indicates the composition of the cathode</t>
  </si>
  <si>
    <t>Manganese 10%</t>
  </si>
  <si>
    <t>Cobalt 10%</t>
  </si>
  <si>
    <t>Nickel 50%</t>
  </si>
  <si>
    <t>Manganese 20%</t>
  </si>
  <si>
    <t>Cobalt 30%</t>
  </si>
  <si>
    <t>Nickel 60%</t>
  </si>
  <si>
    <t>Cobalt 20%</t>
  </si>
  <si>
    <t>NCA</t>
  </si>
  <si>
    <t>All data collected for 60 kWh of battery cells</t>
  </si>
  <si>
    <t>in kg</t>
  </si>
  <si>
    <t xml:space="preserve">Raw material use </t>
  </si>
  <si>
    <t>Total weight in kg</t>
  </si>
  <si>
    <t>Wh/kg</t>
  </si>
  <si>
    <t>Function of</t>
  </si>
  <si>
    <t xml:space="preserve">raw material </t>
  </si>
  <si>
    <t>in battery cell</t>
  </si>
  <si>
    <t>anode</t>
  </si>
  <si>
    <t>cathode</t>
  </si>
  <si>
    <t>current collector</t>
  </si>
  <si>
    <t>cell casing</t>
  </si>
  <si>
    <t xml:space="preserve">In pct of </t>
  </si>
  <si>
    <t>total</t>
  </si>
  <si>
    <t>weight</t>
  </si>
  <si>
    <t>Lithium Li</t>
  </si>
  <si>
    <t>Cobalt Co</t>
  </si>
  <si>
    <t>Nickel Ni</t>
  </si>
  <si>
    <t>Manganese Mg</t>
  </si>
  <si>
    <t>Iron Fe</t>
  </si>
  <si>
    <t>Aluminium Al</t>
  </si>
  <si>
    <t>Copper Cu</t>
  </si>
  <si>
    <t>Steel Fe 98%</t>
  </si>
  <si>
    <t>Tesla battery</t>
  </si>
  <si>
    <t>Sources</t>
  </si>
  <si>
    <t>My estimate. I used my knowledge of Wh/kg for different battery chemistries as guide for setting likely weight of films and binders</t>
  </si>
  <si>
    <t>Residual value</t>
  </si>
  <si>
    <t>Mg normally not used in NCA batteries</t>
  </si>
  <si>
    <t>Fe not used in NCA batteries</t>
  </si>
  <si>
    <r>
      <t>Manganese</t>
    </r>
    <r>
      <rPr>
        <sz val="11"/>
        <color theme="1"/>
        <rFont val="Calibri"/>
        <family val="2"/>
        <scheme val="minor"/>
      </rPr>
      <t xml:space="preserve"> (batteries, steel alloy)</t>
    </r>
  </si>
  <si>
    <t>Weight of battery cells only in model Y long range battery pack</t>
  </si>
  <si>
    <t>Films binders electrolyte</t>
  </si>
  <si>
    <t>kWh</t>
  </si>
  <si>
    <t>Follow link</t>
  </si>
  <si>
    <t xml:space="preserve">likely NCA </t>
  </si>
  <si>
    <t>My estimate. I used the percentage of graphite in the other battery chemistries as a guide</t>
  </si>
  <si>
    <t>My estimate. I used the percentage of Al in the other battery chemistries  as a guide</t>
  </si>
  <si>
    <t>My estimate. I used the percentage of Cu in the other battery chemistries as a guide</t>
  </si>
  <si>
    <t>My estimate. I used the percentage of steel in the other battery chemistries as a guide</t>
  </si>
  <si>
    <t>Plastics textile &amp; other</t>
  </si>
  <si>
    <t>Wh/kg of Tesla 2170 battery cells</t>
  </si>
  <si>
    <t>https://www.notebookcheck.net/Tesla-4680-vs-2170-battery-cell-test-reveals-lower-energy-density-in-the-Texas-made-Model-Y.669162.0.html</t>
  </si>
  <si>
    <t>Implied kWh in a Model Y long range battery pack</t>
  </si>
  <si>
    <t xml:space="preserve">Nickel use in BEV battery Tesla Model Y long range </t>
  </si>
  <si>
    <t xml:space="preserve">Lithium use in BEV battery Tesla Model Y long range </t>
  </si>
  <si>
    <t xml:space="preserve">Cobalt use in BEV battery Tesla Model Y long range </t>
  </si>
  <si>
    <r>
      <t>Graphite</t>
    </r>
    <r>
      <rPr>
        <sz val="11"/>
        <color theme="1"/>
        <rFont val="Calibri"/>
        <family val="2"/>
        <scheme val="minor"/>
      </rPr>
      <t xml:space="preserve"> battery cells 19% 83kWh</t>
    </r>
  </si>
  <si>
    <r>
      <t>Lithium</t>
    </r>
    <r>
      <rPr>
        <sz val="11"/>
        <color theme="1"/>
        <rFont val="Calibri"/>
        <family val="2"/>
        <scheme val="minor"/>
      </rPr>
      <t xml:space="preserve"> battery cells 2.7% 83kWh</t>
    </r>
  </si>
  <si>
    <r>
      <t xml:space="preserve">Cobalt </t>
    </r>
    <r>
      <rPr>
        <sz val="11"/>
        <color theme="1"/>
        <rFont val="Calibri"/>
        <family val="2"/>
        <scheme val="minor"/>
      </rPr>
      <t>in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battery cells 2%, 83kWh</t>
    </r>
  </si>
  <si>
    <r>
      <t xml:space="preserve">Nickel </t>
    </r>
    <r>
      <rPr>
        <sz val="11"/>
        <color theme="1"/>
        <rFont val="Calibri"/>
        <family val="2"/>
        <scheme val="minor"/>
      </rPr>
      <t>battery cells 20% 83kWh</t>
    </r>
  </si>
  <si>
    <r>
      <t xml:space="preserve">Nickel </t>
    </r>
    <r>
      <rPr>
        <sz val="11"/>
        <color theme="1"/>
        <rFont val="Calibri"/>
        <family val="2"/>
        <scheme val="minor"/>
      </rPr>
      <t>in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battery cells 20% 83kWh</t>
    </r>
  </si>
  <si>
    <t>Scale of global raw materials industry by size in tons and USD sales</t>
  </si>
  <si>
    <t>Application</t>
  </si>
  <si>
    <t>https://www.statista.com/statistics/1143399/global-cobalt-consumption-distribution-by-application/</t>
  </si>
  <si>
    <t>Nickel-based alloys</t>
  </si>
  <si>
    <t>Tool materials</t>
  </si>
  <si>
    <t>Pigments</t>
  </si>
  <si>
    <t>Catalysts</t>
  </si>
  <si>
    <t>Magnets</t>
  </si>
  <si>
    <t>Soap &amp; dryers</t>
  </si>
  <si>
    <t>Others</t>
  </si>
  <si>
    <t>Consumption of cobalt in 2020</t>
  </si>
  <si>
    <t>https://www.statista.com/statistics/264928/cobalt-mine-production-by-country/</t>
  </si>
  <si>
    <t xml:space="preserve">Indonesia </t>
  </si>
  <si>
    <t xml:space="preserve">Cuba </t>
  </si>
  <si>
    <t xml:space="preserve">Philippines </t>
  </si>
  <si>
    <t xml:space="preserve">Madagascar </t>
  </si>
  <si>
    <t xml:space="preserve">Papua New Guinea </t>
  </si>
  <si>
    <t xml:space="preserve">Morocco </t>
  </si>
  <si>
    <t>Cobalt mine production and reserves in tons in 2022</t>
  </si>
  <si>
    <t>Risky countries</t>
  </si>
  <si>
    <t>Source 1</t>
  </si>
  <si>
    <t>https://www.statista.com/statistics/264930/global-cobalt-reserves/</t>
  </si>
  <si>
    <t xml:space="preserve">Cobalt reserves by country 2022: </t>
  </si>
  <si>
    <t>Cobalt production by country 2022:</t>
  </si>
  <si>
    <t>Global cobalt production 2022:</t>
  </si>
  <si>
    <t>83kWh</t>
  </si>
  <si>
    <t>variant</t>
  </si>
  <si>
    <t>60kWh</t>
  </si>
  <si>
    <t xml:space="preserve">variant </t>
  </si>
  <si>
    <t>Solutions to cobalt supply chain problems for transitioning to a BEVs only future #21</t>
  </si>
  <si>
    <t>Nickel</t>
  </si>
  <si>
    <t>Lithium</t>
  </si>
  <si>
    <t>Cobalt</t>
  </si>
  <si>
    <t>Copper</t>
  </si>
  <si>
    <t>Manganese</t>
  </si>
  <si>
    <t>Price USD/kg</t>
  </si>
  <si>
    <t>Deep sea Co</t>
  </si>
  <si>
    <t>Deep sea Ma</t>
  </si>
  <si>
    <t>USD/ton</t>
  </si>
  <si>
    <t>Value of different sources of mining ore</t>
  </si>
  <si>
    <t>USD/Ton</t>
  </si>
  <si>
    <t>Typical ore</t>
  </si>
  <si>
    <t>Tesla bat. cell</t>
  </si>
  <si>
    <t>See link</t>
  </si>
  <si>
    <t>Note we cant sum the values up as mining come from different kinds of ore that may only have the element in mind in any important quantity</t>
  </si>
  <si>
    <t>https://worldoceanreview.com/en/wor-3/mineral-resources/cobalt-crusts/?ssp=1&amp;darkschemeovr=1&amp;setlang=en-XL&amp;safesearch=moderate</t>
  </si>
  <si>
    <t>Ore type</t>
  </si>
  <si>
    <t>Element</t>
  </si>
  <si>
    <t>Other stuff</t>
  </si>
  <si>
    <t>Tons mined</t>
  </si>
  <si>
    <t xml:space="preserve">Need for 1 </t>
  </si>
  <si>
    <t>BEV in kg</t>
  </si>
  <si>
    <t>in millions</t>
  </si>
  <si>
    <t>Iron</t>
  </si>
  <si>
    <t>Iron/steel</t>
  </si>
  <si>
    <t>Current</t>
  </si>
  <si>
    <t>billion USD</t>
  </si>
  <si>
    <t>Value mined</t>
  </si>
  <si>
    <t>Future</t>
  </si>
  <si>
    <t>Price parameters</t>
  </si>
  <si>
    <t>Future val.</t>
  </si>
  <si>
    <t>USD per ton of ore</t>
  </si>
  <si>
    <t>South Africa</t>
  </si>
  <si>
    <t>Australia</t>
  </si>
  <si>
    <t>India</t>
  </si>
  <si>
    <t>Gabon</t>
  </si>
  <si>
    <t>Ghana</t>
  </si>
  <si>
    <t>Kazakhstan</t>
  </si>
  <si>
    <t>Mexico</t>
  </si>
  <si>
    <t>https://investingnews.com/daily/resource-investing/battery-metals-investing/manganese-investing/manganese-reserves/</t>
  </si>
  <si>
    <t>Sources for manganese reserves top 10 in 2016</t>
  </si>
  <si>
    <t>https://www.statista.com/statistics/247609/world-manganese-reserves/</t>
  </si>
  <si>
    <t xml:space="preserve">Growth in manganese reserves from 2010 to 2022 </t>
  </si>
  <si>
    <t>Production in million tons metal</t>
  </si>
  <si>
    <t>Reserves in million tons metal</t>
  </si>
  <si>
    <t>Myanmar</t>
  </si>
  <si>
    <t>Manganese production and reserves in 2015</t>
  </si>
  <si>
    <t>https://en.wikipedia.org/wiki/List_of_countries_by_manganese_production</t>
  </si>
  <si>
    <t>Global reserves of manganese ore 1.7 billion tons in 2022</t>
  </si>
  <si>
    <t>Global production of manganese metal in 2015</t>
  </si>
  <si>
    <t>Best source by far for production and reserves in 2022</t>
  </si>
  <si>
    <t>https://pubs.usgs.gov/periodicals/mcs2023/mcs2023-manganese.pdf</t>
  </si>
  <si>
    <t xml:space="preserve">Burma </t>
  </si>
  <si>
    <t>ΝΑ</t>
  </si>
  <si>
    <t xml:space="preserve">Côte d'Ivoire </t>
  </si>
  <si>
    <t xml:space="preserve">Gabon </t>
  </si>
  <si>
    <t xml:space="preserve">Georgia </t>
  </si>
  <si>
    <t xml:space="preserve">Kazakhstan ,concentrate </t>
  </si>
  <si>
    <t xml:space="preserve">Malaysia </t>
  </si>
  <si>
    <t xml:space="preserve">South Africa </t>
  </si>
  <si>
    <t xml:space="preserve">Ukraine ,concentrate </t>
  </si>
  <si>
    <t xml:space="preserve">Vietnam </t>
  </si>
  <si>
    <t xml:space="preserve">Other countries </t>
  </si>
  <si>
    <t xml:space="preserve">Small </t>
  </si>
  <si>
    <t>World total (rounded )</t>
  </si>
  <si>
    <t>Manganese production and reserves in 2022</t>
  </si>
  <si>
    <t>million tons metal</t>
  </si>
  <si>
    <t xml:space="preserve">Production in </t>
  </si>
  <si>
    <t xml:space="preserve">Reserves in </t>
  </si>
  <si>
    <t>In %</t>
  </si>
  <si>
    <t xml:space="preserve">How many BEVs if all land based reserves was used </t>
  </si>
  <si>
    <t>Cobal reserves deep sea is 94 million tons</t>
  </si>
  <si>
    <t xml:space="preserve">How many BEVs if all deep sea based reserves was used </t>
  </si>
  <si>
    <t>Sodium-ion</t>
  </si>
  <si>
    <t>Na-ion/</t>
  </si>
  <si>
    <t>Natrium Na/ Sodium</t>
  </si>
  <si>
    <t>wire, cathode, casing</t>
  </si>
  <si>
    <t xml:space="preserve">Aluminium </t>
  </si>
  <si>
    <t>https://onlinelibrary.wiley.com/doi/full/10.1002/aenm.202000093</t>
  </si>
  <si>
    <t>Sodium carbonate for Na-ion cells</t>
  </si>
  <si>
    <t>https://www.indexbox.io/blog/sodium-carbonate-price-per-ton-in-august-2022/#:~:text=In%20August%202022%2C%20the%20sodium%20carbonate%20price%20per,in%20February%202022%20an%20increase%20of%2015%25%20m-o-m.</t>
  </si>
  <si>
    <t>https://insideevs.com/news/523413/catl-unveils-sodium-ion-battery/</t>
  </si>
  <si>
    <t>Na replaces Li</t>
  </si>
  <si>
    <t>https://www.youtube.com/watch?v=e_kBxp-kLX0&amp;t=402s</t>
  </si>
  <si>
    <t>Timestamp: 6:30</t>
  </si>
  <si>
    <t>Timestamp: 6:35</t>
  </si>
  <si>
    <t>Lithium Li metal wgt</t>
  </si>
  <si>
    <t>Graphite C, Li-ion</t>
  </si>
  <si>
    <t>Hard carbon C, Na-ion</t>
  </si>
  <si>
    <t>CATL</t>
  </si>
  <si>
    <t>Timestamp: 6:25</t>
  </si>
  <si>
    <t>Calculated</t>
  </si>
  <si>
    <t>Timestamp: 2:10</t>
  </si>
  <si>
    <t>Timestamp: 2:10 the 20% is taken from the typical % used of graphite in Li-ion battery</t>
  </si>
  <si>
    <t>control</t>
  </si>
  <si>
    <t>4.1 to 3800</t>
  </si>
  <si>
    <t>Not used in example BEV</t>
  </si>
  <si>
    <t>https://www.sciencedirect.com/science/article/pii/S2352152X22019521</t>
  </si>
  <si>
    <r>
      <t xml:space="preserve">Sodium carbonate </t>
    </r>
    <r>
      <rPr>
        <sz val="11"/>
        <color theme="1"/>
        <rFont val="Calibri"/>
        <family val="2"/>
        <scheme val="minor"/>
      </rPr>
      <t xml:space="preserve">for Na-ion </t>
    </r>
  </si>
  <si>
    <t>https://www.takomabattery.com/catl-sodium-ion-battery/?ssp=1&amp;darkschemeovr=1&amp;setlang=en-XL&amp;safesearch=moderate</t>
  </si>
  <si>
    <t xml:space="preserve">Other sources: </t>
  </si>
  <si>
    <t>Above source suggest Sodium ion cells can be made in mass production at 65% of the cost of Li-ion cells per kWh</t>
  </si>
  <si>
    <t>Price of Prussian blue 4 USD per kg</t>
  </si>
  <si>
    <t>https://www.alibaba.com/product-detail/prussian-blue-pigment-pigment-blue-powder_60284676577.html?spm=a2700.7724857.0.0.4a8a5bfcL8ziDf</t>
  </si>
  <si>
    <t>Chemical formula for Prussian blue Fe7(CN)18</t>
  </si>
  <si>
    <t>https://en.wikipedia.org/wiki/Prussian_blue</t>
  </si>
  <si>
    <t>LiFePO4</t>
  </si>
  <si>
    <t>kilo</t>
  </si>
  <si>
    <t>Plastics/other C,H,O, N, P, F</t>
  </si>
  <si>
    <t>Steel Fe 98%, Ma 1%</t>
  </si>
  <si>
    <t>https://www.indexbox.io/blog/graphite-price-per-ton-may-2022/</t>
  </si>
  <si>
    <r>
      <t>Graphite</t>
    </r>
    <r>
      <rPr>
        <sz val="11"/>
        <color theme="1"/>
        <rFont val="Calibri"/>
        <family val="2"/>
        <scheme val="minor"/>
      </rPr>
      <t xml:space="preserve"> (Li-ion cells 19% 83kWh)</t>
    </r>
  </si>
  <si>
    <r>
      <t xml:space="preserve">Hard carbon </t>
    </r>
    <r>
      <rPr>
        <sz val="11"/>
        <color theme="1"/>
        <rFont val="Calibri"/>
        <family val="2"/>
        <scheme val="minor"/>
      </rPr>
      <t>(Na-ion cells, anode)</t>
    </r>
  </si>
  <si>
    <r>
      <t>Lithium carbonate</t>
    </r>
    <r>
      <rPr>
        <sz val="11"/>
        <color theme="1"/>
        <rFont val="Calibri"/>
        <family val="2"/>
        <scheme val="minor"/>
      </rPr>
      <t xml:space="preserve"> or equivalent </t>
    </r>
  </si>
  <si>
    <r>
      <t xml:space="preserve">Lithium carbonate </t>
    </r>
    <r>
      <rPr>
        <sz val="11"/>
        <color theme="1"/>
        <rFont val="Calibri"/>
        <family val="2"/>
        <scheme val="minor"/>
      </rPr>
      <t xml:space="preserve">or equivalent </t>
    </r>
  </si>
  <si>
    <t># of BEVs</t>
  </si>
  <si>
    <r>
      <t xml:space="preserve">Sources: </t>
    </r>
    <r>
      <rPr>
        <sz val="11"/>
        <color theme="1"/>
        <rFont val="Calibri"/>
        <family val="2"/>
        <scheme val="minor"/>
      </rPr>
      <t>Follow link below video to download spreadsheet containing clickable sources</t>
    </r>
  </si>
  <si>
    <r>
      <t xml:space="preserve">Aluminium </t>
    </r>
    <r>
      <rPr>
        <sz val="11"/>
        <color theme="1"/>
        <rFont val="Calibri"/>
        <family val="2"/>
        <scheme val="minor"/>
      </rPr>
      <t>(vehicle GM Volt))</t>
    </r>
  </si>
  <si>
    <t>Tesla vehicles by 2030</t>
  </si>
  <si>
    <t>Global BEV vehicles by 2031?</t>
  </si>
  <si>
    <t>Aluminium ore Bauxite at 18%</t>
  </si>
  <si>
    <t>Can be inferred from looking at other battery chemistries</t>
  </si>
  <si>
    <t>Copper use in typical battery electric vehicle current and next generation</t>
  </si>
  <si>
    <t>Reduction in copper use for motors</t>
  </si>
  <si>
    <t>Philippines</t>
  </si>
  <si>
    <r>
      <t xml:space="preserve">Sources: </t>
    </r>
    <r>
      <rPr>
        <sz val="9"/>
        <color theme="1"/>
        <rFont val="Calibri"/>
        <family val="2"/>
        <scheme val="minor"/>
      </rPr>
      <t>Follow link below video to download spreadsheet containing clickable sources</t>
    </r>
  </si>
  <si>
    <t>Malaysia</t>
  </si>
  <si>
    <t>quality</t>
  </si>
  <si>
    <t>Ore/nodule</t>
  </si>
  <si>
    <t>Mining 309 million tons of manganese nodules</t>
  </si>
  <si>
    <t>https://tradingeconomics.com/commodity/zinc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</si>
</sst>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color theme="1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9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/>
    <xf numFmtId="3" fontId="0" fillId="0" borderId="0" xfId="0" applyNumberFormat="1"/>
    <xf numFmtId="0" fontId="3" fillId="2" borderId="0" xfId="0" applyFont="1" applyFill="1"/>
    <xf numFmtId="0" fontId="0" fillId="2" borderId="0" xfId="0" applyFill="1"/>
    <xf numFmtId="10" fontId="0" fillId="0" borderId="0" xfId="0" applyNumberFormat="1"/>
    <xf numFmtId="0" fontId="6" fillId="0" borderId="0" xfId="1"/>
    <xf numFmtId="0" fontId="3" fillId="5" borderId="0" xfId="0" applyFont="1" applyFill="1"/>
    <xf numFmtId="0" fontId="7" fillId="0" borderId="0" xfId="0" applyFont="1"/>
    <xf numFmtId="0" fontId="3" fillId="6" borderId="1" xfId="0" applyFont="1" applyFill="1" applyBorder="1"/>
    <xf numFmtId="0" fontId="3" fillId="6" borderId="2" xfId="0" applyFont="1" applyFill="1" applyBorder="1"/>
    <xf numFmtId="0" fontId="3" fillId="6" borderId="3" xfId="0" applyFont="1" applyFill="1" applyBorder="1"/>
    <xf numFmtId="0" fontId="0" fillId="6" borderId="4" xfId="0" applyFill="1" applyBorder="1"/>
    <xf numFmtId="0" fontId="0" fillId="6" borderId="0" xfId="0" applyFill="1"/>
    <xf numFmtId="0" fontId="3" fillId="6" borderId="5" xfId="0" applyFont="1" applyFill="1" applyBorder="1"/>
    <xf numFmtId="0" fontId="3" fillId="0" borderId="4" xfId="0" applyFont="1" applyBorder="1"/>
    <xf numFmtId="164" fontId="0" fillId="0" borderId="0" xfId="0" applyNumberFormat="1"/>
    <xf numFmtId="10" fontId="0" fillId="0" borderId="5" xfId="0" applyNumberFormat="1" applyBorder="1"/>
    <xf numFmtId="0" fontId="0" fillId="0" borderId="5" xfId="0" applyBorder="1"/>
    <xf numFmtId="0" fontId="3" fillId="4" borderId="6" xfId="0" applyFont="1" applyFill="1" applyBorder="1"/>
    <xf numFmtId="164" fontId="3" fillId="4" borderId="7" xfId="0" applyNumberFormat="1" applyFont="1" applyFill="1" applyBorder="1"/>
    <xf numFmtId="0" fontId="0" fillId="4" borderId="7" xfId="0" applyFill="1" applyBorder="1"/>
    <xf numFmtId="0" fontId="0" fillId="4" borderId="8" xfId="0" applyFill="1" applyBorder="1"/>
    <xf numFmtId="0" fontId="3" fillId="5" borderId="1" xfId="0" applyFont="1" applyFill="1" applyBorder="1"/>
    <xf numFmtId="0" fontId="3" fillId="5" borderId="2" xfId="0" applyFont="1" applyFill="1" applyBorder="1"/>
    <xf numFmtId="0" fontId="3" fillId="5" borderId="3" xfId="0" applyFont="1" applyFill="1" applyBorder="1"/>
    <xf numFmtId="0" fontId="0" fillId="5" borderId="4" xfId="0" applyFill="1" applyBorder="1"/>
    <xf numFmtId="0" fontId="0" fillId="5" borderId="0" xfId="0" applyFill="1"/>
    <xf numFmtId="0" fontId="3" fillId="5" borderId="5" xfId="0" applyFont="1" applyFill="1" applyBorder="1"/>
    <xf numFmtId="4" fontId="0" fillId="0" borderId="0" xfId="0" applyNumberFormat="1"/>
    <xf numFmtId="15" fontId="0" fillId="0" borderId="5" xfId="0" applyNumberFormat="1" applyBorder="1"/>
    <xf numFmtId="4" fontId="3" fillId="3" borderId="7" xfId="0" applyNumberFormat="1" applyFont="1" applyFill="1" applyBorder="1"/>
    <xf numFmtId="0" fontId="3" fillId="3" borderId="4" xfId="0" applyFont="1" applyFill="1" applyBorder="1"/>
    <xf numFmtId="164" fontId="0" fillId="3" borderId="0" xfId="0" applyNumberFormat="1" applyFill="1"/>
    <xf numFmtId="3" fontId="0" fillId="3" borderId="0" xfId="0" applyNumberFormat="1" applyFill="1"/>
    <xf numFmtId="0" fontId="0" fillId="3" borderId="0" xfId="0" applyFill="1"/>
    <xf numFmtId="10" fontId="0" fillId="3" borderId="5" xfId="0" applyNumberFormat="1" applyFill="1" applyBorder="1"/>
    <xf numFmtId="4" fontId="0" fillId="3" borderId="0" xfId="0" applyNumberFormat="1" applyFill="1"/>
    <xf numFmtId="15" fontId="0" fillId="3" borderId="5" xfId="0" applyNumberFormat="1" applyFill="1" applyBorder="1"/>
    <xf numFmtId="0" fontId="3" fillId="7" borderId="2" xfId="0" applyFont="1" applyFill="1" applyBorder="1"/>
    <xf numFmtId="0" fontId="3" fillId="8" borderId="2" xfId="0" applyFont="1" applyFill="1" applyBorder="1"/>
    <xf numFmtId="0" fontId="3" fillId="8" borderId="3" xfId="0" applyFont="1" applyFill="1" applyBorder="1"/>
    <xf numFmtId="0" fontId="3" fillId="0" borderId="5" xfId="0" applyFont="1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3" fillId="9" borderId="7" xfId="0" applyFont="1" applyFill="1" applyBorder="1"/>
    <xf numFmtId="10" fontId="3" fillId="9" borderId="7" xfId="0" applyNumberFormat="1" applyFont="1" applyFill="1" applyBorder="1" applyAlignment="1">
      <alignment horizontal="center"/>
    </xf>
    <xf numFmtId="0" fontId="3" fillId="9" borderId="7" xfId="0" applyFont="1" applyFill="1" applyBorder="1" applyAlignment="1">
      <alignment horizontal="center"/>
    </xf>
    <xf numFmtId="10" fontId="3" fillId="9" borderId="8" xfId="0" applyNumberFormat="1" applyFont="1" applyFill="1" applyBorder="1" applyAlignment="1">
      <alignment horizontal="center"/>
    </xf>
    <xf numFmtId="0" fontId="3" fillId="10" borderId="1" xfId="0" applyFont="1" applyFill="1" applyBorder="1"/>
    <xf numFmtId="0" fontId="3" fillId="10" borderId="4" xfId="0" applyFont="1" applyFill="1" applyBorder="1"/>
    <xf numFmtId="0" fontId="0" fillId="10" borderId="4" xfId="0" applyFill="1" applyBorder="1"/>
    <xf numFmtId="1" fontId="0" fillId="0" borderId="5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3" fillId="9" borderId="0" xfId="0" applyNumberFormat="1" applyFont="1" applyFill="1" applyAlignment="1">
      <alignment horizontal="center" vertical="center"/>
    </xf>
    <xf numFmtId="1" fontId="3" fillId="9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9" borderId="0" xfId="0" applyFill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1" fontId="0" fillId="9" borderId="5" xfId="0" applyNumberFormat="1" applyFill="1" applyBorder="1" applyAlignment="1">
      <alignment horizontal="center" vertical="center"/>
    </xf>
    <xf numFmtId="0" fontId="3" fillId="10" borderId="6" xfId="0" applyFont="1" applyFill="1" applyBorder="1"/>
    <xf numFmtId="2" fontId="0" fillId="0" borderId="0" xfId="0" applyNumberFormat="1"/>
    <xf numFmtId="0" fontId="3" fillId="11" borderId="0" xfId="0" applyFont="1" applyFill="1"/>
    <xf numFmtId="0" fontId="3" fillId="9" borderId="0" xfId="0" applyFont="1" applyFill="1"/>
    <xf numFmtId="3" fontId="0" fillId="9" borderId="0" xfId="0" applyNumberFormat="1" applyFill="1"/>
    <xf numFmtId="10" fontId="0" fillId="9" borderId="0" xfId="0" applyNumberFormat="1" applyFill="1"/>
    <xf numFmtId="0" fontId="3" fillId="12" borderId="0" xfId="0" applyFont="1" applyFill="1"/>
    <xf numFmtId="3" fontId="0" fillId="12" borderId="0" xfId="0" applyNumberFormat="1" applyFill="1"/>
    <xf numFmtId="0" fontId="0" fillId="12" borderId="0" xfId="0" applyFill="1"/>
    <xf numFmtId="10" fontId="0" fillId="12" borderId="0" xfId="0" applyNumberFormat="1" applyFill="1"/>
    <xf numFmtId="2" fontId="0" fillId="9" borderId="0" xfId="0" applyNumberFormat="1" applyFill="1"/>
    <xf numFmtId="2" fontId="0" fillId="12" borderId="0" xfId="0" applyNumberFormat="1" applyFill="1"/>
    <xf numFmtId="0" fontId="3" fillId="10" borderId="0" xfId="0" applyFont="1" applyFill="1"/>
    <xf numFmtId="0" fontId="8" fillId="0" borderId="0" xfId="0" applyFont="1" applyAlignment="1">
      <alignment horizontal="left"/>
    </xf>
    <xf numFmtId="3" fontId="3" fillId="2" borderId="0" xfId="0" applyNumberFormat="1" applyFont="1" applyFill="1"/>
    <xf numFmtId="10" fontId="0" fillId="2" borderId="0" xfId="0" applyNumberFormat="1" applyFill="1"/>
    <xf numFmtId="3" fontId="3" fillId="2" borderId="0" xfId="0" applyNumberFormat="1" applyFont="1" applyFill="1" applyAlignment="1">
      <alignment horizontal="right"/>
    </xf>
    <xf numFmtId="10" fontId="0" fillId="3" borderId="0" xfId="0" applyNumberFormat="1" applyFill="1"/>
    <xf numFmtId="4" fontId="3" fillId="4" borderId="7" xfId="0" applyNumberFormat="1" applyFont="1" applyFill="1" applyBorder="1"/>
    <xf numFmtId="15" fontId="0" fillId="0" borderId="0" xfId="0" applyNumberFormat="1"/>
    <xf numFmtId="15" fontId="0" fillId="3" borderId="0" xfId="0" applyNumberFormat="1" applyFill="1"/>
    <xf numFmtId="3" fontId="0" fillId="0" borderId="5" xfId="0" applyNumberFormat="1" applyBorder="1"/>
    <xf numFmtId="0" fontId="3" fillId="6" borderId="0" xfId="0" applyFont="1" applyFill="1"/>
    <xf numFmtId="3" fontId="0" fillId="3" borderId="5" xfId="0" applyNumberFormat="1" applyFill="1" applyBorder="1"/>
    <xf numFmtId="0" fontId="6" fillId="0" borderId="0" xfId="1" applyAlignment="1">
      <alignment horizontal="left" vertical="center" readingOrder="1"/>
    </xf>
    <xf numFmtId="0" fontId="3" fillId="9" borderId="4" xfId="0" applyFont="1" applyFill="1" applyBorder="1"/>
    <xf numFmtId="0" fontId="0" fillId="9" borderId="0" xfId="0" applyFill="1"/>
    <xf numFmtId="4" fontId="0" fillId="9" borderId="0" xfId="0" applyNumberFormat="1" applyFill="1"/>
    <xf numFmtId="15" fontId="0" fillId="9" borderId="0" xfId="0" applyNumberFormat="1" applyFill="1"/>
    <xf numFmtId="3" fontId="0" fillId="9" borderId="5" xfId="0" applyNumberFormat="1" applyFill="1" applyBorder="1"/>
    <xf numFmtId="0" fontId="3" fillId="6" borderId="9" xfId="0" applyFont="1" applyFill="1" applyBorder="1"/>
    <xf numFmtId="0" fontId="3" fillId="6" borderId="10" xfId="0" applyFont="1" applyFill="1" applyBorder="1"/>
    <xf numFmtId="3" fontId="0" fillId="9" borderId="10" xfId="0" applyNumberFormat="1" applyFill="1" applyBorder="1"/>
    <xf numFmtId="0" fontId="0" fillId="9" borderId="10" xfId="0" applyFill="1" applyBorder="1"/>
    <xf numFmtId="3" fontId="0" fillId="0" borderId="10" xfId="0" applyNumberFormat="1" applyBorder="1"/>
    <xf numFmtId="3" fontId="0" fillId="3" borderId="10" xfId="0" applyNumberFormat="1" applyFill="1" applyBorder="1"/>
    <xf numFmtId="0" fontId="0" fillId="9" borderId="10" xfId="0" applyFill="1" applyBorder="1" applyAlignment="1">
      <alignment horizontal="center"/>
    </xf>
    <xf numFmtId="10" fontId="0" fillId="9" borderId="0" xfId="0" applyNumberFormat="1" applyFill="1" applyAlignment="1">
      <alignment horizontal="center"/>
    </xf>
    <xf numFmtId="4" fontId="0" fillId="9" borderId="0" xfId="0" applyNumberFormat="1" applyFill="1" applyAlignment="1">
      <alignment horizontal="center"/>
    </xf>
    <xf numFmtId="15" fontId="0" fillId="9" borderId="0" xfId="0" applyNumberFormat="1" applyFill="1" applyAlignment="1">
      <alignment horizontal="center"/>
    </xf>
    <xf numFmtId="4" fontId="0" fillId="0" borderId="0" xfId="0" applyNumberFormat="1" applyAlignment="1">
      <alignment horizontal="center"/>
    </xf>
    <xf numFmtId="15" fontId="0" fillId="0" borderId="0" xfId="0" applyNumberFormat="1" applyAlignment="1">
      <alignment horizontal="center"/>
    </xf>
    <xf numFmtId="3" fontId="0" fillId="0" borderId="5" xfId="0" applyNumberFormat="1" applyBorder="1" applyAlignment="1">
      <alignment horizontal="center"/>
    </xf>
    <xf numFmtId="10" fontId="0" fillId="0" borderId="0" xfId="0" applyNumberFormat="1" applyAlignment="1">
      <alignment horizontal="center"/>
    </xf>
    <xf numFmtId="10" fontId="0" fillId="3" borderId="0" xfId="0" applyNumberFormat="1" applyFill="1" applyAlignment="1">
      <alignment horizontal="center"/>
    </xf>
    <xf numFmtId="9" fontId="0" fillId="0" borderId="0" xfId="0" applyNumberFormat="1"/>
    <xf numFmtId="0" fontId="3" fillId="7" borderId="0" xfId="0" applyFont="1" applyFill="1"/>
    <xf numFmtId="0" fontId="8" fillId="0" borderId="0" xfId="0" applyFont="1"/>
    <xf numFmtId="0" fontId="9" fillId="0" borderId="0" xfId="0" applyFont="1"/>
    <xf numFmtId="0" fontId="3" fillId="2" borderId="6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1" xfId="0" applyFill="1" applyBorder="1"/>
    <xf numFmtId="0" fontId="0" fillId="0" borderId="10" xfId="0" applyBorder="1"/>
    <xf numFmtId="0" fontId="3" fillId="0" borderId="2" xfId="0" applyFont="1" applyBorder="1"/>
    <xf numFmtId="0" fontId="7" fillId="13" borderId="0" xfId="0" applyFont="1" applyFill="1"/>
    <xf numFmtId="0" fontId="4" fillId="13" borderId="0" xfId="0" applyFont="1" applyFill="1"/>
    <xf numFmtId="0" fontId="0" fillId="13" borderId="0" xfId="0" applyFill="1"/>
    <xf numFmtId="0" fontId="3" fillId="13" borderId="2" xfId="0" applyFont="1" applyFill="1" applyBorder="1"/>
    <xf numFmtId="0" fontId="8" fillId="13" borderId="0" xfId="0" applyFont="1" applyFill="1" applyAlignment="1">
      <alignment horizontal="left"/>
    </xf>
    <xf numFmtId="0" fontId="3" fillId="13" borderId="0" xfId="0" applyFont="1" applyFill="1"/>
    <xf numFmtId="0" fontId="10" fillId="0" borderId="0" xfId="0" applyFont="1"/>
    <xf numFmtId="0" fontId="3" fillId="11" borderId="1" xfId="0" applyFont="1" applyFill="1" applyBorder="1"/>
    <xf numFmtId="0" fontId="3" fillId="11" borderId="2" xfId="0" applyFont="1" applyFill="1" applyBorder="1"/>
    <xf numFmtId="0" fontId="3" fillId="11" borderId="3" xfId="0" applyFont="1" applyFill="1" applyBorder="1"/>
    <xf numFmtId="0" fontId="3" fillId="13" borderId="4" xfId="0" applyFont="1" applyFill="1" applyBorder="1"/>
    <xf numFmtId="0" fontId="0" fillId="13" borderId="5" xfId="0" applyFill="1" applyBorder="1"/>
    <xf numFmtId="3" fontId="3" fillId="2" borderId="7" xfId="0" applyNumberFormat="1" applyFont="1" applyFill="1" applyBorder="1"/>
    <xf numFmtId="10" fontId="0" fillId="2" borderId="7" xfId="0" applyNumberFormat="1" applyFill="1" applyBorder="1"/>
    <xf numFmtId="10" fontId="0" fillId="2" borderId="8" xfId="0" applyNumberFormat="1" applyFill="1" applyBorder="1"/>
    <xf numFmtId="2" fontId="3" fillId="0" borderId="0" xfId="0" applyNumberFormat="1" applyFont="1"/>
    <xf numFmtId="0" fontId="12" fillId="0" borderId="0" xfId="0" applyFont="1"/>
    <xf numFmtId="0" fontId="3" fillId="8" borderId="0" xfId="0" applyFont="1" applyFill="1"/>
    <xf numFmtId="10" fontId="0" fillId="4" borderId="0" xfId="0" applyNumberFormat="1" applyFill="1"/>
    <xf numFmtId="0" fontId="13" fillId="0" borderId="0" xfId="1" applyFont="1"/>
    <xf numFmtId="2" fontId="0" fillId="13" borderId="0" xfId="0" applyNumberFormat="1" applyFill="1"/>
    <xf numFmtId="0" fontId="3" fillId="4" borderId="0" xfId="0" applyFont="1" applyFill="1"/>
    <xf numFmtId="3" fontId="0" fillId="14" borderId="0" xfId="0" applyNumberFormat="1" applyFill="1"/>
    <xf numFmtId="10" fontId="0" fillId="14" borderId="0" xfId="0" applyNumberFormat="1" applyFill="1"/>
    <xf numFmtId="10" fontId="0" fillId="14" borderId="5" xfId="0" applyNumberFormat="1" applyFill="1" applyBorder="1"/>
    <xf numFmtId="3" fontId="3" fillId="14" borderId="7" xfId="0" applyNumberFormat="1" applyFont="1" applyFill="1" applyBorder="1"/>
    <xf numFmtId="10" fontId="0" fillId="14" borderId="7" xfId="0" applyNumberFormat="1" applyFill="1" applyBorder="1"/>
    <xf numFmtId="10" fontId="0" fillId="14" borderId="8" xfId="0" applyNumberFormat="1" applyFill="1" applyBorder="1"/>
    <xf numFmtId="0" fontId="0" fillId="0" borderId="0" xfId="0" applyAlignment="1">
      <alignment horizontal="center"/>
    </xf>
    <xf numFmtId="10" fontId="6" fillId="0" borderId="0" xfId="1" applyNumberFormat="1"/>
    <xf numFmtId="0" fontId="3" fillId="7" borderId="1" xfId="0" applyFont="1" applyFill="1" applyBorder="1"/>
    <xf numFmtId="0" fontId="3" fillId="14" borderId="2" xfId="0" applyFont="1" applyFill="1" applyBorder="1"/>
    <xf numFmtId="0" fontId="3" fillId="14" borderId="3" xfId="0" applyFont="1" applyFill="1" applyBorder="1"/>
    <xf numFmtId="3" fontId="14" fillId="0" borderId="0" xfId="0" applyNumberFormat="1" applyFont="1"/>
    <xf numFmtId="10" fontId="0" fillId="0" borderId="7" xfId="0" applyNumberFormat="1" applyBorder="1"/>
    <xf numFmtId="3" fontId="0" fillId="0" borderId="7" xfId="0" applyNumberFormat="1" applyBorder="1"/>
    <xf numFmtId="3" fontId="0" fillId="0" borderId="8" xfId="0" applyNumberFormat="1" applyBorder="1"/>
    <xf numFmtId="0" fontId="15" fillId="13" borderId="0" xfId="0" applyFont="1" applyFill="1"/>
    <xf numFmtId="0" fontId="11" fillId="14" borderId="0" xfId="0" applyFont="1" applyFill="1"/>
    <xf numFmtId="0" fontId="11" fillId="14" borderId="5" xfId="0" applyFont="1" applyFill="1" applyBorder="1"/>
    <xf numFmtId="0" fontId="3" fillId="15" borderId="0" xfId="0" applyFont="1" applyFill="1"/>
    <xf numFmtId="0" fontId="3" fillId="7" borderId="3" xfId="0" applyFont="1" applyFill="1" applyBorder="1"/>
    <xf numFmtId="0" fontId="3" fillId="7" borderId="4" xfId="0" applyFont="1" applyFill="1" applyBorder="1"/>
    <xf numFmtId="0" fontId="3" fillId="7" borderId="5" xfId="0" applyFont="1" applyFill="1" applyBorder="1"/>
    <xf numFmtId="0" fontId="3" fillId="15" borderId="4" xfId="0" applyFont="1" applyFill="1" applyBorder="1"/>
    <xf numFmtId="4" fontId="0" fillId="9" borderId="5" xfId="0" applyNumberFormat="1" applyFill="1" applyBorder="1"/>
    <xf numFmtId="0" fontId="0" fillId="9" borderId="5" xfId="0" applyFill="1" applyBorder="1"/>
    <xf numFmtId="0" fontId="15" fillId="0" borderId="0" xfId="0" applyFont="1"/>
    <xf numFmtId="0" fontId="11" fillId="0" borderId="0" xfId="0" applyFont="1"/>
    <xf numFmtId="3" fontId="3" fillId="0" borderId="0" xfId="0" applyNumberFormat="1" applyFont="1"/>
    <xf numFmtId="4" fontId="3" fillId="0" borderId="0" xfId="0" applyNumberFormat="1" applyFont="1"/>
    <xf numFmtId="4" fontId="3" fillId="9" borderId="5" xfId="0" applyNumberFormat="1" applyFont="1" applyFill="1" applyBorder="1"/>
    <xf numFmtId="0" fontId="3" fillId="2" borderId="12" xfId="0" applyFont="1" applyFill="1" applyBorder="1"/>
    <xf numFmtId="0" fontId="0" fillId="2" borderId="13" xfId="0" applyFill="1" applyBorder="1"/>
    <xf numFmtId="3" fontId="3" fillId="2" borderId="13" xfId="0" applyNumberFormat="1" applyFont="1" applyFill="1" applyBorder="1"/>
    <xf numFmtId="0" fontId="3" fillId="2" borderId="13" xfId="0" applyFont="1" applyFill="1" applyBorder="1"/>
    <xf numFmtId="3" fontId="3" fillId="2" borderId="14" xfId="0" applyNumberFormat="1" applyFont="1" applyFill="1" applyBorder="1"/>
    <xf numFmtId="2" fontId="0" fillId="0" borderId="0" xfId="0" applyNumberFormat="1" applyAlignment="1">
      <alignment horizontal="right"/>
    </xf>
    <xf numFmtId="3" fontId="3" fillId="0" borderId="7" xfId="0" applyNumberFormat="1" applyFont="1" applyBorder="1"/>
    <xf numFmtId="0" fontId="0" fillId="14" borderId="0" xfId="0" applyFill="1"/>
    <xf numFmtId="0" fontId="3" fillId="16" borderId="1" xfId="0" applyFont="1" applyFill="1" applyBorder="1"/>
    <xf numFmtId="0" fontId="3" fillId="16" borderId="2" xfId="0" applyFont="1" applyFill="1" applyBorder="1"/>
    <xf numFmtId="0" fontId="3" fillId="16" borderId="3" xfId="0" applyFont="1" applyFill="1" applyBorder="1"/>
    <xf numFmtId="0" fontId="3" fillId="16" borderId="0" xfId="0" applyFont="1" applyFill="1"/>
    <xf numFmtId="0" fontId="0" fillId="0" borderId="0" xfId="0" applyAlignment="1">
      <alignment horizontal="right"/>
    </xf>
    <xf numFmtId="3" fontId="0" fillId="14" borderId="0" xfId="0" applyNumberFormat="1" applyFill="1" applyAlignment="1">
      <alignment horizontal="right"/>
    </xf>
    <xf numFmtId="3" fontId="0" fillId="0" borderId="0" xfId="0" applyNumberFormat="1" applyAlignment="1">
      <alignment horizontal="right"/>
    </xf>
    <xf numFmtId="0" fontId="3" fillId="16" borderId="5" xfId="0" applyFont="1" applyFill="1" applyBorder="1"/>
    <xf numFmtId="10" fontId="0" fillId="0" borderId="8" xfId="0" applyNumberFormat="1" applyBorder="1"/>
    <xf numFmtId="0" fontId="0" fillId="16" borderId="4" xfId="0" applyFill="1" applyBorder="1"/>
    <xf numFmtId="0" fontId="16" fillId="0" borderId="0" xfId="1" applyFont="1"/>
    <xf numFmtId="0" fontId="0" fillId="0" borderId="0" xfId="0" quotePrefix="1"/>
    <xf numFmtId="4" fontId="0" fillId="0" borderId="0" xfId="0" applyNumberFormat="1" applyAlignment="1">
      <alignment horizontal="right"/>
    </xf>
    <xf numFmtId="2" fontId="3" fillId="7" borderId="1" xfId="0" applyNumberFormat="1" applyFont="1" applyFill="1" applyBorder="1"/>
    <xf numFmtId="2" fontId="3" fillId="7" borderId="3" xfId="0" applyNumberFormat="1" applyFont="1" applyFill="1" applyBorder="1"/>
    <xf numFmtId="2" fontId="0" fillId="0" borderId="4" xfId="0" applyNumberFormat="1" applyBorder="1"/>
    <xf numFmtId="2" fontId="0" fillId="0" borderId="5" xfId="0" applyNumberFormat="1" applyBorder="1"/>
    <xf numFmtId="2" fontId="3" fillId="10" borderId="4" xfId="0" applyNumberFormat="1" applyFont="1" applyFill="1" applyBorder="1"/>
    <xf numFmtId="2" fontId="3" fillId="10" borderId="6" xfId="0" applyNumberFormat="1" applyFont="1" applyFill="1" applyBorder="1"/>
    <xf numFmtId="10" fontId="3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dingeconomics.com/commodity/manganese" TargetMode="External"/><Relationship Id="rId13" Type="http://schemas.openxmlformats.org/officeDocument/2006/relationships/hyperlink" Target="https://onlinelibrary.wiley.com/doi/full/10.1002/aenm.202000093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www.mining.com/all-the-mines-tesla-needs-to-build-20-million-cars-a-year/" TargetMode="External"/><Relationship Id="rId7" Type="http://schemas.openxmlformats.org/officeDocument/2006/relationships/hyperlink" Target="https://tradingeconomics.com/commodity/copper" TargetMode="External"/><Relationship Id="rId12" Type="http://schemas.openxmlformats.org/officeDocument/2006/relationships/hyperlink" Target="https://tradingeconomics.com/commodity/steel" TargetMode="External"/><Relationship Id="rId17" Type="http://schemas.openxmlformats.org/officeDocument/2006/relationships/hyperlink" Target="https://tradingeconomics.com/commodity/zinc" TargetMode="External"/><Relationship Id="rId2" Type="http://schemas.openxmlformats.org/officeDocument/2006/relationships/hyperlink" Target="https://www.mining.com/web/graphite-deficit-starting-this-year-as-demand-for-ev-battery-anode-ingredient-exceeds-supply/" TargetMode="External"/><Relationship Id="rId16" Type="http://schemas.openxmlformats.org/officeDocument/2006/relationships/hyperlink" Target="https://www.indexbox.io/blog/graphite-price-per-ton-may-2022/" TargetMode="External"/><Relationship Id="rId1" Type="http://schemas.openxmlformats.org/officeDocument/2006/relationships/hyperlink" Target="https://moneyexchangerate.org/currencyexchange/cny/usd/" TargetMode="External"/><Relationship Id="rId6" Type="http://schemas.openxmlformats.org/officeDocument/2006/relationships/hyperlink" Target="https://tradingeconomics.com/commodity/lithium" TargetMode="External"/><Relationship Id="rId11" Type="http://schemas.openxmlformats.org/officeDocument/2006/relationships/hyperlink" Target="https://tradingeconomics.com/commodity/aluminum" TargetMode="External"/><Relationship Id="rId5" Type="http://schemas.openxmlformats.org/officeDocument/2006/relationships/hyperlink" Target="https://tradingeconomics.com/commodity/nickel" TargetMode="External"/><Relationship Id="rId15" Type="http://schemas.openxmlformats.org/officeDocument/2006/relationships/hyperlink" Target="https://www.sciencedirect.com/science/article/pii/S2352152X22019521" TargetMode="External"/><Relationship Id="rId10" Type="http://schemas.openxmlformats.org/officeDocument/2006/relationships/hyperlink" Target="https://tradingeconomics.com/commodity/neodymium" TargetMode="External"/><Relationship Id="rId4" Type="http://schemas.openxmlformats.org/officeDocument/2006/relationships/hyperlink" Target="https://www.quora.com/How-much-lithium-in-kg-is-used-in-an-electric-car" TargetMode="External"/><Relationship Id="rId9" Type="http://schemas.openxmlformats.org/officeDocument/2006/relationships/hyperlink" Target="https://tradingeconomics.com/commodity/cobalt" TargetMode="External"/><Relationship Id="rId14" Type="http://schemas.openxmlformats.org/officeDocument/2006/relationships/hyperlink" Target="https://www.indexbox.io/blog/sodium-carbonate-price-per-ton-in-august-2022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atista.com/statistics/264954/world-magnesium-production/" TargetMode="External"/><Relationship Id="rId2" Type="http://schemas.openxmlformats.org/officeDocument/2006/relationships/hyperlink" Target="https://www.statista.com/statistics/569515/primary-magnesium-production-worldwide/" TargetMode="External"/><Relationship Id="rId1" Type="http://schemas.openxmlformats.org/officeDocument/2006/relationships/hyperlink" Target="https://en.wikipedia.org/wiki/List_of_countries_by_magnesium_production" TargetMode="External"/><Relationship Id="rId4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atista.com/statistics/247609/world-manganese-reserves/" TargetMode="External"/><Relationship Id="rId2" Type="http://schemas.openxmlformats.org/officeDocument/2006/relationships/hyperlink" Target="https://www.statista.com/statistics/247609/world-manganese-reserves/" TargetMode="External"/><Relationship Id="rId1" Type="http://schemas.openxmlformats.org/officeDocument/2006/relationships/hyperlink" Target="https://investingnews.com/daily/resource-investing/battery-metals-investing/manganese-investing/manganese-reserves/" TargetMode="External"/><Relationship Id="rId6" Type="http://schemas.openxmlformats.org/officeDocument/2006/relationships/printerSettings" Target="../printerSettings/printerSettings10.bin"/><Relationship Id="rId5" Type="http://schemas.openxmlformats.org/officeDocument/2006/relationships/hyperlink" Target="https://pubs.usgs.gov/periodicals/mcs2023/mcs2023-manganese.pdf" TargetMode="External"/><Relationship Id="rId4" Type="http://schemas.openxmlformats.org/officeDocument/2006/relationships/hyperlink" Target="https://en.wikipedia.org/wiki/List_of_countries_by_manganese_production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worldoceanreview.com/en/wor-3/mineral-resources/cobalt-crusts/?ssp=1&amp;darkschemeovr=1&amp;setlang=en-XL&amp;safesearch=moderate" TargetMode="External"/><Relationship Id="rId3" Type="http://schemas.openxmlformats.org/officeDocument/2006/relationships/hyperlink" Target="https://cambridgehouse.com/news/8707/how-evs-will-forever-change-the-copper-landscape" TargetMode="External"/><Relationship Id="rId7" Type="http://schemas.openxmlformats.org/officeDocument/2006/relationships/hyperlink" Target="https://worldoceanreview.com/en/wor-3/mineral-resources/cobalt-crusts/?ssp=1&amp;darkschemeovr=1&amp;setlang=en-XL&amp;safesearch=moderate" TargetMode="External"/><Relationship Id="rId2" Type="http://schemas.openxmlformats.org/officeDocument/2006/relationships/hyperlink" Target="https://www.youtube.com/watch?v=l6T9xIeZTds&amp;t=4628s" TargetMode="External"/><Relationship Id="rId1" Type="http://schemas.openxmlformats.org/officeDocument/2006/relationships/hyperlink" Target="https://geology.com/usgs/manganese/" TargetMode="External"/><Relationship Id="rId6" Type="http://schemas.openxmlformats.org/officeDocument/2006/relationships/hyperlink" Target="https://worldoceanreview.com/en/wor-3/mineral-resources/cobalt-crusts/?ssp=1&amp;darkschemeovr=1&amp;setlang=en-XL&amp;safesearch=moderate" TargetMode="External"/><Relationship Id="rId5" Type="http://schemas.openxmlformats.org/officeDocument/2006/relationships/hyperlink" Target="https://en.wikipedia.org/wiki/Copper_extraction" TargetMode="External"/><Relationship Id="rId10" Type="http://schemas.openxmlformats.org/officeDocument/2006/relationships/printerSettings" Target="../printerSettings/printerSettings11.bin"/><Relationship Id="rId4" Type="http://schemas.openxmlformats.org/officeDocument/2006/relationships/hyperlink" Target="https://www.youtube.com/watch?v=l6T9xIeZTds&amp;t=4628s" TargetMode="External"/><Relationship Id="rId9" Type="http://schemas.openxmlformats.org/officeDocument/2006/relationships/hyperlink" Target="https://worldoceanreview.com/en/wor-3/mineral-resources/cobalt-crusts/?ssp=1&amp;darkschemeovr=1&amp;setlang=en-XL&amp;safesearch=moderate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ining.com/all-the-mines-tesla-needs-to-build-20-million-cars-a-year/" TargetMode="External"/><Relationship Id="rId13" Type="http://schemas.openxmlformats.org/officeDocument/2006/relationships/hyperlink" Target="https://www.statista.com/statistics/1187186/global-rare-earths-mine-production/" TargetMode="External"/><Relationship Id="rId18" Type="http://schemas.openxmlformats.org/officeDocument/2006/relationships/hyperlink" Target="https://stockhouse.com/news/newswire/2015/05/19/how-much-copper-and-zinc-average-vehicle" TargetMode="External"/><Relationship Id="rId26" Type="http://schemas.openxmlformats.org/officeDocument/2006/relationships/printerSettings" Target="../printerSettings/printerSettings2.bin"/><Relationship Id="rId3" Type="http://schemas.openxmlformats.org/officeDocument/2006/relationships/hyperlink" Target="https://www.statista.com/statistics/606684/world-production-of-lithium/?ssp=1&amp;darkschemeovr=1&amp;setlang=en-XL&amp;safesearch=moderate" TargetMode="External"/><Relationship Id="rId21" Type="http://schemas.openxmlformats.org/officeDocument/2006/relationships/hyperlink" Target="https://cleantechnica.com/2019/01/28/tesla-model-3-battery-pack-cell-teardown-highlights-performance-improvements/" TargetMode="External"/><Relationship Id="rId7" Type="http://schemas.openxmlformats.org/officeDocument/2006/relationships/hyperlink" Target="https://www.quora.com/How-much-lithium-in-kg-is-used-in-an-electric-car" TargetMode="External"/><Relationship Id="rId12" Type="http://schemas.openxmlformats.org/officeDocument/2006/relationships/hyperlink" Target="https://www.mining-technology.com/comment/global-copper-output-grow/" TargetMode="External"/><Relationship Id="rId17" Type="http://schemas.openxmlformats.org/officeDocument/2006/relationships/hyperlink" Target="https://www.intlmag.org/general/custom.asp?page=app_automotive_ima" TargetMode="External"/><Relationship Id="rId25" Type="http://schemas.openxmlformats.org/officeDocument/2006/relationships/hyperlink" Target="https://pubs.usgs.gov/periodicals/mcs2023/mcs2023-manganese.pdf" TargetMode="External"/><Relationship Id="rId2" Type="http://schemas.openxmlformats.org/officeDocument/2006/relationships/hyperlink" Target="https://natural-resources.canada.ca/our-natural-resources/minerals-mining/minerals-metals-facts/graphite-facts/24027" TargetMode="External"/><Relationship Id="rId16" Type="http://schemas.openxmlformats.org/officeDocument/2006/relationships/hyperlink" Target="https://international-aluminium.org/statistics/primary-aluminium-production/" TargetMode="External"/><Relationship Id="rId20" Type="http://schemas.openxmlformats.org/officeDocument/2006/relationships/hyperlink" Target="https://cambridgehouse.com/news/8707/how-evs-will-forever-change-the-copper-landscape" TargetMode="External"/><Relationship Id="rId1" Type="http://schemas.openxmlformats.org/officeDocument/2006/relationships/hyperlink" Target="https://worldsteel.org/steel-topics/statistics/world-steel-in-figures-2022/" TargetMode="External"/><Relationship Id="rId6" Type="http://schemas.openxmlformats.org/officeDocument/2006/relationships/hyperlink" Target="https://www.mining.com/all-the-mines-tesla-needs-to-build-20-million-cars-a-year/" TargetMode="External"/><Relationship Id="rId11" Type="http://schemas.openxmlformats.org/officeDocument/2006/relationships/hyperlink" Target="https://www.mining.com/all-the-mines-tesla-needs-to-build-20-million-cars-a-year/" TargetMode="External"/><Relationship Id="rId24" Type="http://schemas.openxmlformats.org/officeDocument/2006/relationships/hyperlink" Target="https://www.notebookcheck.net/Tesla-4680-vs-2170-battery-cell-test-reveals-lower-energy-density-in-the-Texas-made-Model-Y.669162.0.html" TargetMode="External"/><Relationship Id="rId5" Type="http://schemas.openxmlformats.org/officeDocument/2006/relationships/hyperlink" Target="https://www.mining.com/web/graphite-deficit-starting-this-year-as-demand-for-ev-battery-anode-ingredient-exceeds-supply/" TargetMode="External"/><Relationship Id="rId15" Type="http://schemas.openxmlformats.org/officeDocument/2006/relationships/hyperlink" Target="https://www.kitco.com/news/2023-02-06/Global-nickel-production-up-21-in-2022-as-Indonesian-output-jumps-54.html" TargetMode="External"/><Relationship Id="rId23" Type="http://schemas.openxmlformats.org/officeDocument/2006/relationships/hyperlink" Target="https://elements.visualcapitalist.com/the-key-minerals-in-an-ev-battery/" TargetMode="External"/><Relationship Id="rId10" Type="http://schemas.openxmlformats.org/officeDocument/2006/relationships/hyperlink" Target="https://www.mining.com/all-the-mines-tesla-needs-to-build-20-million-cars-a-year/" TargetMode="External"/><Relationship Id="rId19" Type="http://schemas.openxmlformats.org/officeDocument/2006/relationships/hyperlink" Target="https://chem.libretexts.org/Ancillary_Materials/Laboratory_Experiments/Wet_Lab_Experiments/Analytical_Chemistry_Labs/Determination_of_the_Mn_Content_of_Steel" TargetMode="External"/><Relationship Id="rId4" Type="http://schemas.openxmlformats.org/officeDocument/2006/relationships/hyperlink" Target="https://www.visualcapitalist.com/visualizing-25-years-of-lithium-production-by-country/" TargetMode="External"/><Relationship Id="rId9" Type="http://schemas.openxmlformats.org/officeDocument/2006/relationships/hyperlink" Target="https://www.mining.com/all-the-mines-tesla-needs-to-build-20-million-cars-a-year/" TargetMode="External"/><Relationship Id="rId14" Type="http://schemas.openxmlformats.org/officeDocument/2006/relationships/hyperlink" Target="https://www.statista.com/statistics/339759/global-cobalt-mine-production/" TargetMode="External"/><Relationship Id="rId22" Type="http://schemas.openxmlformats.org/officeDocument/2006/relationships/hyperlink" Target="https://themotordigest.com/how-much-do-tesla-batteries-weigh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en.wikipedia.org/wiki/Copper_extraction" TargetMode="External"/><Relationship Id="rId13" Type="http://schemas.openxmlformats.org/officeDocument/2006/relationships/hyperlink" Target="https://www.alibaba.com/product-detail/High-purity-99-95-nano-graphite_10000000439969.html" TargetMode="External"/><Relationship Id="rId18" Type="http://schemas.openxmlformats.org/officeDocument/2006/relationships/hyperlink" Target="https://tradingeconomics.com/commodity/cobalt" TargetMode="External"/><Relationship Id="rId26" Type="http://schemas.openxmlformats.org/officeDocument/2006/relationships/hyperlink" Target="https://tradingeconomics.com/commodity/coal" TargetMode="External"/><Relationship Id="rId39" Type="http://schemas.openxmlformats.org/officeDocument/2006/relationships/hyperlink" Target="https://www.youtube.com/watch?v=l6T9xIeZTds&amp;t=4628s" TargetMode="External"/><Relationship Id="rId3" Type="http://schemas.openxmlformats.org/officeDocument/2006/relationships/hyperlink" Target="https://www.statista.com/statistics/606684/world-production-of-lithium/?ssp=1&amp;darkschemeovr=1&amp;setlang=en-XL&amp;safesearch=moderate" TargetMode="External"/><Relationship Id="rId21" Type="http://schemas.openxmlformats.org/officeDocument/2006/relationships/hyperlink" Target="https://tradingeconomics.com/commodity/steel" TargetMode="External"/><Relationship Id="rId34" Type="http://schemas.openxmlformats.org/officeDocument/2006/relationships/hyperlink" Target="https://www.omnicalculator.com/conversion/natural-gas-converter" TargetMode="External"/><Relationship Id="rId7" Type="http://schemas.openxmlformats.org/officeDocument/2006/relationships/hyperlink" Target="https://www.mining.com/all-the-mines-tesla-needs-to-build-20-million-cars-a-year/" TargetMode="External"/><Relationship Id="rId12" Type="http://schemas.openxmlformats.org/officeDocument/2006/relationships/hyperlink" Target="https://www.mining.com/all-the-mines-tesla-needs-to-build-20-million-cars-a-year/" TargetMode="External"/><Relationship Id="rId17" Type="http://schemas.openxmlformats.org/officeDocument/2006/relationships/hyperlink" Target="https://tradingeconomics.com/commodity/manganese" TargetMode="External"/><Relationship Id="rId25" Type="http://schemas.openxmlformats.org/officeDocument/2006/relationships/hyperlink" Target="https://www.iea.org/data-and-statistics/charts/global-coal-production-2018-2021" TargetMode="External"/><Relationship Id="rId33" Type="http://schemas.openxmlformats.org/officeDocument/2006/relationships/hyperlink" Target="https://www.xe.com/currencyconverter/convert/?Amount=1&amp;From=GBP&amp;To=USD" TargetMode="External"/><Relationship Id="rId38" Type="http://schemas.openxmlformats.org/officeDocument/2006/relationships/hyperlink" Target="https://www.youtube.com/watch?v=l6T9xIeZTds&amp;t=4628s" TargetMode="External"/><Relationship Id="rId2" Type="http://schemas.openxmlformats.org/officeDocument/2006/relationships/hyperlink" Target="https://natural-resources.canada.ca/our-natural-resources/minerals-mining/minerals-metals-facts/graphite-facts/24027" TargetMode="External"/><Relationship Id="rId16" Type="http://schemas.openxmlformats.org/officeDocument/2006/relationships/hyperlink" Target="https://tradingeconomics.com/commodity/copper" TargetMode="External"/><Relationship Id="rId20" Type="http://schemas.openxmlformats.org/officeDocument/2006/relationships/hyperlink" Target="https://tradingeconomics.com/commodity/aluminum" TargetMode="External"/><Relationship Id="rId29" Type="http://schemas.openxmlformats.org/officeDocument/2006/relationships/hyperlink" Target="https://www.linkedin.com/pulse/why-we-say-1-ton-crude-oil-equals-733-barrels-seraph-liu/" TargetMode="External"/><Relationship Id="rId1" Type="http://schemas.openxmlformats.org/officeDocument/2006/relationships/hyperlink" Target="https://worldsteel.org/steel-topics/statistics/world-steel-in-figures-2022/" TargetMode="External"/><Relationship Id="rId6" Type="http://schemas.openxmlformats.org/officeDocument/2006/relationships/hyperlink" Target="https://www.mining-technology.com/comment/global-copper-output-grow/" TargetMode="External"/><Relationship Id="rId11" Type="http://schemas.openxmlformats.org/officeDocument/2006/relationships/hyperlink" Target="https://www.statista.com/statistics/1187186/global-rare-earths-mine-production/" TargetMode="External"/><Relationship Id="rId24" Type="http://schemas.openxmlformats.org/officeDocument/2006/relationships/hyperlink" Target="https://www.statista.com/statistics/799538/global-bauxite-production/" TargetMode="External"/><Relationship Id="rId32" Type="http://schemas.openxmlformats.org/officeDocument/2006/relationships/hyperlink" Target="https://tradingeconomics.com/commodity/uk-natural-gas" TargetMode="External"/><Relationship Id="rId37" Type="http://schemas.openxmlformats.org/officeDocument/2006/relationships/hyperlink" Target="https://www.youtube.com/watch?v=l6T9xIeZTds&amp;t=4628s" TargetMode="External"/><Relationship Id="rId40" Type="http://schemas.openxmlformats.org/officeDocument/2006/relationships/printerSettings" Target="../printerSettings/printerSettings3.bin"/><Relationship Id="rId5" Type="http://schemas.openxmlformats.org/officeDocument/2006/relationships/hyperlink" Target="https://www.britannica.com/technology/iron-processing/Ores" TargetMode="External"/><Relationship Id="rId15" Type="http://schemas.openxmlformats.org/officeDocument/2006/relationships/hyperlink" Target="https://tradingeconomics.com/commodity/lithium" TargetMode="External"/><Relationship Id="rId23" Type="http://schemas.openxmlformats.org/officeDocument/2006/relationships/hyperlink" Target="https://geology.com/usgs/manganese/" TargetMode="External"/><Relationship Id="rId28" Type="http://schemas.openxmlformats.org/officeDocument/2006/relationships/hyperlink" Target="https://tradingeconomics.com/commodity/crude-oil" TargetMode="External"/><Relationship Id="rId36" Type="http://schemas.openxmlformats.org/officeDocument/2006/relationships/hyperlink" Target="https://www.britannica.com/technology/zinc-processing/Ores" TargetMode="External"/><Relationship Id="rId10" Type="http://schemas.openxmlformats.org/officeDocument/2006/relationships/hyperlink" Target="https://www.mining.com/all-the-mines-tesla-needs-to-build-20-million-cars-a-year/" TargetMode="External"/><Relationship Id="rId19" Type="http://schemas.openxmlformats.org/officeDocument/2006/relationships/hyperlink" Target="https://tradingeconomics.com/commodity/neodymium" TargetMode="External"/><Relationship Id="rId31" Type="http://schemas.openxmlformats.org/officeDocument/2006/relationships/hyperlink" Target="https://www.omnicalculator.com/conversion/natural-gas-converter" TargetMode="External"/><Relationship Id="rId4" Type="http://schemas.openxmlformats.org/officeDocument/2006/relationships/hyperlink" Target="https://www.visualcapitalist.com/visualizing-25-years-of-lithium-production-by-country/" TargetMode="External"/><Relationship Id="rId9" Type="http://schemas.openxmlformats.org/officeDocument/2006/relationships/hyperlink" Target="https://www.mining.com/all-the-mines-tesla-needs-to-build-20-million-cars-a-year/" TargetMode="External"/><Relationship Id="rId14" Type="http://schemas.openxmlformats.org/officeDocument/2006/relationships/hyperlink" Target="https://tradingeconomics.com/commodity/nickel" TargetMode="External"/><Relationship Id="rId22" Type="http://schemas.openxmlformats.org/officeDocument/2006/relationships/hyperlink" Target="https://www.ga.gov.au/education/classroom-resources/minerals-energy/australian-mineral-facts/nickel" TargetMode="External"/><Relationship Id="rId27" Type="http://schemas.openxmlformats.org/officeDocument/2006/relationships/hyperlink" Target="https://www.statista.com/statistics/265229/global-oil-production-in-million-metric-tons/" TargetMode="External"/><Relationship Id="rId30" Type="http://schemas.openxmlformats.org/officeDocument/2006/relationships/hyperlink" Target="https://www.statista.com/statistics/265344/total-global-natural-gas-production-since-1998/" TargetMode="External"/><Relationship Id="rId35" Type="http://schemas.openxmlformats.org/officeDocument/2006/relationships/hyperlink" Target="https://www.911metallurgist.com/blog/froth-flotation-spodumene-processing-lithium-extraction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elements.visualcapitalist.com/the-key-minerals-in-an-ev-battery/" TargetMode="External"/><Relationship Id="rId18" Type="http://schemas.openxmlformats.org/officeDocument/2006/relationships/hyperlink" Target="https://elements.visualcapitalist.com/the-key-minerals-in-an-ev-battery/" TargetMode="External"/><Relationship Id="rId26" Type="http://schemas.openxmlformats.org/officeDocument/2006/relationships/hyperlink" Target="https://elements.visualcapitalist.com/the-key-minerals-in-an-ev-battery/" TargetMode="External"/><Relationship Id="rId39" Type="http://schemas.openxmlformats.org/officeDocument/2006/relationships/hyperlink" Target="https://elements.visualcapitalist.com/the-key-minerals-in-an-ev-battery/" TargetMode="External"/><Relationship Id="rId21" Type="http://schemas.openxmlformats.org/officeDocument/2006/relationships/hyperlink" Target="https://elements.visualcapitalist.com/the-key-minerals-in-an-ev-battery/" TargetMode="External"/><Relationship Id="rId34" Type="http://schemas.openxmlformats.org/officeDocument/2006/relationships/hyperlink" Target="https://elements.visualcapitalist.com/the-key-minerals-in-an-ev-battery/" TargetMode="External"/><Relationship Id="rId42" Type="http://schemas.openxmlformats.org/officeDocument/2006/relationships/hyperlink" Target="https://elements.visualcapitalist.com/the-key-minerals-in-an-ev-battery/" TargetMode="External"/><Relationship Id="rId47" Type="http://schemas.openxmlformats.org/officeDocument/2006/relationships/hyperlink" Target="https://www.youtube.com/watch?v=e_kBxp-kLX0&amp;t=402s" TargetMode="External"/><Relationship Id="rId50" Type="http://schemas.openxmlformats.org/officeDocument/2006/relationships/hyperlink" Target="https://www.youtube.com/watch?v=e_kBxp-kLX0&amp;t=402s" TargetMode="External"/><Relationship Id="rId55" Type="http://schemas.openxmlformats.org/officeDocument/2006/relationships/hyperlink" Target="https://www.takomabattery.com/catl-sodium-ion-battery/?ssp=1&amp;darkschemeovr=1&amp;setlang=en-XL&amp;safesearch=moderate" TargetMode="External"/><Relationship Id="rId7" Type="http://schemas.openxmlformats.org/officeDocument/2006/relationships/hyperlink" Target="https://elements.visualcapitalist.com/the-key-minerals-in-an-ev-battery/" TargetMode="External"/><Relationship Id="rId12" Type="http://schemas.openxmlformats.org/officeDocument/2006/relationships/hyperlink" Target="https://elements.visualcapitalist.com/the-key-minerals-in-an-ev-battery/" TargetMode="External"/><Relationship Id="rId17" Type="http://schemas.openxmlformats.org/officeDocument/2006/relationships/hyperlink" Target="https://elements.visualcapitalist.com/the-key-minerals-in-an-ev-battery/" TargetMode="External"/><Relationship Id="rId25" Type="http://schemas.openxmlformats.org/officeDocument/2006/relationships/hyperlink" Target="https://elements.visualcapitalist.com/the-key-minerals-in-an-ev-battery/" TargetMode="External"/><Relationship Id="rId33" Type="http://schemas.openxmlformats.org/officeDocument/2006/relationships/hyperlink" Target="https://elements.visualcapitalist.com/the-key-minerals-in-an-ev-battery/" TargetMode="External"/><Relationship Id="rId38" Type="http://schemas.openxmlformats.org/officeDocument/2006/relationships/hyperlink" Target="https://elements.visualcapitalist.com/the-key-minerals-in-an-ev-battery/" TargetMode="External"/><Relationship Id="rId46" Type="http://schemas.openxmlformats.org/officeDocument/2006/relationships/hyperlink" Target="https://insideevs.com/news/523413/catl-unveils-sodium-ion-battery/" TargetMode="External"/><Relationship Id="rId2" Type="http://schemas.openxmlformats.org/officeDocument/2006/relationships/hyperlink" Target="https://elements.visualcapitalist.com/the-key-minerals-in-an-ev-battery/" TargetMode="External"/><Relationship Id="rId16" Type="http://schemas.openxmlformats.org/officeDocument/2006/relationships/hyperlink" Target="https://elements.visualcapitalist.com/the-key-minerals-in-an-ev-battery/" TargetMode="External"/><Relationship Id="rId20" Type="http://schemas.openxmlformats.org/officeDocument/2006/relationships/hyperlink" Target="https://elements.visualcapitalist.com/the-key-minerals-in-an-ev-battery/" TargetMode="External"/><Relationship Id="rId29" Type="http://schemas.openxmlformats.org/officeDocument/2006/relationships/hyperlink" Target="https://elements.visualcapitalist.com/the-key-minerals-in-an-ev-battery/" TargetMode="External"/><Relationship Id="rId41" Type="http://schemas.openxmlformats.org/officeDocument/2006/relationships/hyperlink" Target="https://elements.visualcapitalist.com/the-key-minerals-in-an-ev-battery/" TargetMode="External"/><Relationship Id="rId54" Type="http://schemas.openxmlformats.org/officeDocument/2006/relationships/hyperlink" Target="https://www.youtube.com/watch?v=e_kBxp-kLX0&amp;t=402s" TargetMode="External"/><Relationship Id="rId1" Type="http://schemas.openxmlformats.org/officeDocument/2006/relationships/hyperlink" Target="https://elements.visualcapitalist.com/the-key-minerals-in-an-ev-battery/" TargetMode="External"/><Relationship Id="rId6" Type="http://schemas.openxmlformats.org/officeDocument/2006/relationships/hyperlink" Target="https://elements.visualcapitalist.com/the-key-minerals-in-an-ev-battery/" TargetMode="External"/><Relationship Id="rId11" Type="http://schemas.openxmlformats.org/officeDocument/2006/relationships/hyperlink" Target="https://elements.visualcapitalist.com/the-key-minerals-in-an-ev-battery/" TargetMode="External"/><Relationship Id="rId24" Type="http://schemas.openxmlformats.org/officeDocument/2006/relationships/hyperlink" Target="https://elements.visualcapitalist.com/the-key-minerals-in-an-ev-battery/" TargetMode="External"/><Relationship Id="rId32" Type="http://schemas.openxmlformats.org/officeDocument/2006/relationships/hyperlink" Target="https://elements.visualcapitalist.com/the-key-minerals-in-an-ev-battery/" TargetMode="External"/><Relationship Id="rId37" Type="http://schemas.openxmlformats.org/officeDocument/2006/relationships/hyperlink" Target="https://elements.visualcapitalist.com/the-key-minerals-in-an-ev-battery/" TargetMode="External"/><Relationship Id="rId40" Type="http://schemas.openxmlformats.org/officeDocument/2006/relationships/hyperlink" Target="https://elements.visualcapitalist.com/the-key-minerals-in-an-ev-battery/" TargetMode="External"/><Relationship Id="rId45" Type="http://schemas.openxmlformats.org/officeDocument/2006/relationships/hyperlink" Target="https://elements.visualcapitalist.com/the-key-minerals-in-an-ev-battery/" TargetMode="External"/><Relationship Id="rId53" Type="http://schemas.openxmlformats.org/officeDocument/2006/relationships/hyperlink" Target="https://www.youtube.com/watch?v=e_kBxp-kLX0&amp;t=402s" TargetMode="External"/><Relationship Id="rId58" Type="http://schemas.openxmlformats.org/officeDocument/2006/relationships/printerSettings" Target="../printerSettings/printerSettings4.bin"/><Relationship Id="rId5" Type="http://schemas.openxmlformats.org/officeDocument/2006/relationships/hyperlink" Target="https://elements.visualcapitalist.com/the-key-minerals-in-an-ev-battery/" TargetMode="External"/><Relationship Id="rId15" Type="http://schemas.openxmlformats.org/officeDocument/2006/relationships/hyperlink" Target="https://elements.visualcapitalist.com/the-key-minerals-in-an-ev-battery/" TargetMode="External"/><Relationship Id="rId23" Type="http://schemas.openxmlformats.org/officeDocument/2006/relationships/hyperlink" Target="https://elements.visualcapitalist.com/the-key-minerals-in-an-ev-battery/" TargetMode="External"/><Relationship Id="rId28" Type="http://schemas.openxmlformats.org/officeDocument/2006/relationships/hyperlink" Target="https://elements.visualcapitalist.com/the-key-minerals-in-an-ev-battery/" TargetMode="External"/><Relationship Id="rId36" Type="http://schemas.openxmlformats.org/officeDocument/2006/relationships/hyperlink" Target="https://elements.visualcapitalist.com/the-key-minerals-in-an-ev-battery/" TargetMode="External"/><Relationship Id="rId49" Type="http://schemas.openxmlformats.org/officeDocument/2006/relationships/hyperlink" Target="https://www.youtube.com/watch?v=e_kBxp-kLX0&amp;t=402s" TargetMode="External"/><Relationship Id="rId57" Type="http://schemas.openxmlformats.org/officeDocument/2006/relationships/hyperlink" Target="https://en.wikipedia.org/wiki/Prussian_blue" TargetMode="External"/><Relationship Id="rId10" Type="http://schemas.openxmlformats.org/officeDocument/2006/relationships/hyperlink" Target="https://elements.visualcapitalist.com/the-key-minerals-in-an-ev-battery/" TargetMode="External"/><Relationship Id="rId19" Type="http://schemas.openxmlformats.org/officeDocument/2006/relationships/hyperlink" Target="https://elements.visualcapitalist.com/the-key-minerals-in-an-ev-battery/" TargetMode="External"/><Relationship Id="rId31" Type="http://schemas.openxmlformats.org/officeDocument/2006/relationships/hyperlink" Target="https://elements.visualcapitalist.com/the-key-minerals-in-an-ev-battery/" TargetMode="External"/><Relationship Id="rId44" Type="http://schemas.openxmlformats.org/officeDocument/2006/relationships/hyperlink" Target="https://elements.visualcapitalist.com/the-key-minerals-in-an-ev-battery/" TargetMode="External"/><Relationship Id="rId52" Type="http://schemas.openxmlformats.org/officeDocument/2006/relationships/hyperlink" Target="https://www.youtube.com/watch?v=e_kBxp-kLX0&amp;t=402s" TargetMode="External"/><Relationship Id="rId4" Type="http://schemas.openxmlformats.org/officeDocument/2006/relationships/hyperlink" Target="https://elements.visualcapitalist.com/the-key-minerals-in-an-ev-battery/" TargetMode="External"/><Relationship Id="rId9" Type="http://schemas.openxmlformats.org/officeDocument/2006/relationships/hyperlink" Target="https://elements.visualcapitalist.com/the-key-minerals-in-an-ev-battery/" TargetMode="External"/><Relationship Id="rId14" Type="http://schemas.openxmlformats.org/officeDocument/2006/relationships/hyperlink" Target="https://elements.visualcapitalist.com/the-key-minerals-in-an-ev-battery/" TargetMode="External"/><Relationship Id="rId22" Type="http://schemas.openxmlformats.org/officeDocument/2006/relationships/hyperlink" Target="https://elements.visualcapitalist.com/the-key-minerals-in-an-ev-battery/" TargetMode="External"/><Relationship Id="rId27" Type="http://schemas.openxmlformats.org/officeDocument/2006/relationships/hyperlink" Target="https://elements.visualcapitalist.com/the-key-minerals-in-an-ev-battery/" TargetMode="External"/><Relationship Id="rId30" Type="http://schemas.openxmlformats.org/officeDocument/2006/relationships/hyperlink" Target="https://elements.visualcapitalist.com/the-key-minerals-in-an-ev-battery/" TargetMode="External"/><Relationship Id="rId35" Type="http://schemas.openxmlformats.org/officeDocument/2006/relationships/hyperlink" Target="https://elements.visualcapitalist.com/the-key-minerals-in-an-ev-battery/" TargetMode="External"/><Relationship Id="rId43" Type="http://schemas.openxmlformats.org/officeDocument/2006/relationships/hyperlink" Target="https://elements.visualcapitalist.com/the-key-minerals-in-an-ev-battery/" TargetMode="External"/><Relationship Id="rId48" Type="http://schemas.openxmlformats.org/officeDocument/2006/relationships/hyperlink" Target="https://www.youtube.com/watch?v=e_kBxp-kLX0&amp;t=402s" TargetMode="External"/><Relationship Id="rId56" Type="http://schemas.openxmlformats.org/officeDocument/2006/relationships/hyperlink" Target="https://www.alibaba.com/product-detail/prussian-blue-pigment-pigment-blue-powder_60284676577.html?spm=a2700.7724857.0.0.4a8a5bfcL8ziDf" TargetMode="External"/><Relationship Id="rId8" Type="http://schemas.openxmlformats.org/officeDocument/2006/relationships/hyperlink" Target="https://elements.visualcapitalist.com/the-key-minerals-in-an-ev-battery/" TargetMode="External"/><Relationship Id="rId51" Type="http://schemas.openxmlformats.org/officeDocument/2006/relationships/hyperlink" Target="https://www.youtube.com/watch?v=e_kBxp-kLX0&amp;t=402s" TargetMode="External"/><Relationship Id="rId3" Type="http://schemas.openxmlformats.org/officeDocument/2006/relationships/hyperlink" Target="https://elements.visualcapitalist.com/the-key-minerals-in-an-ev-battery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niversaltradingscri.com/top-9-nickel-producing-countries-updated-2022/" TargetMode="External"/><Relationship Id="rId2" Type="http://schemas.openxmlformats.org/officeDocument/2006/relationships/hyperlink" Target="https://investingnews.com/daily/resource-investing/base-metals-investing/nickel-investing/top-nickel-producing-countries/" TargetMode="External"/><Relationship Id="rId1" Type="http://schemas.openxmlformats.org/officeDocument/2006/relationships/hyperlink" Target="https://www.statista.com/statistics/273634/nickel-reserves-worldwide-by-country/" TargetMode="External"/><Relationship Id="rId6" Type="http://schemas.openxmlformats.org/officeDocument/2006/relationships/printerSettings" Target="../printerSettings/printerSettings7.bin"/><Relationship Id="rId5" Type="http://schemas.openxmlformats.org/officeDocument/2006/relationships/hyperlink" Target="https://nickelinstitute.org/en/about-nickel-and-its-applications/" TargetMode="External"/><Relationship Id="rId4" Type="http://schemas.openxmlformats.org/officeDocument/2006/relationships/hyperlink" Target="https://www.kitco.com/news/2023-02-06/Global-nickel-production-up-21-in-2022-as-Indonesian-output-jumps-54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atista.com/statistics/339759/global-cobalt-mine-production/" TargetMode="External"/><Relationship Id="rId2" Type="http://schemas.openxmlformats.org/officeDocument/2006/relationships/hyperlink" Target="https://www.statista.com/statistics/264928/cobalt-mine-production-by-country/" TargetMode="External"/><Relationship Id="rId1" Type="http://schemas.openxmlformats.org/officeDocument/2006/relationships/hyperlink" Target="https://www.statista.com/statistics/1143399/global-cobalt-consumption-distribution-by-application/" TargetMode="External"/><Relationship Id="rId6" Type="http://schemas.openxmlformats.org/officeDocument/2006/relationships/printerSettings" Target="../printerSettings/printerSettings8.bin"/><Relationship Id="rId5" Type="http://schemas.openxmlformats.org/officeDocument/2006/relationships/hyperlink" Target="https://worldoceanreview.com/en/wor-3/mineral-resources/cobalt-crusts/?ssp=1&amp;darkschemeovr=1&amp;setlang=en-XL&amp;safesearch=moderate" TargetMode="External"/><Relationship Id="rId4" Type="http://schemas.openxmlformats.org/officeDocument/2006/relationships/hyperlink" Target="https://www.statista.com/statistics/264930/global-cobalt-reserv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5"/>
  <sheetViews>
    <sheetView workbookViewId="0">
      <selection activeCell="H38" sqref="H38"/>
    </sheetView>
  </sheetViews>
  <sheetFormatPr defaultRowHeight="14.5" x14ac:dyDescent="0.35"/>
  <cols>
    <col min="2" max="2" width="28.54296875" customWidth="1"/>
    <col min="3" max="3" width="15.1796875" customWidth="1"/>
    <col min="4" max="4" width="11" customWidth="1"/>
    <col min="5" max="5" width="17.81640625" customWidth="1"/>
    <col min="6" max="6" width="10.1796875" customWidth="1"/>
    <col min="7" max="7" width="13.6328125" customWidth="1"/>
    <col min="8" max="8" width="12.90625" customWidth="1"/>
    <col min="10" max="10" width="10.81640625" bestFit="1" customWidth="1"/>
    <col min="12" max="12" width="29.6328125" customWidth="1"/>
    <col min="13" max="13" width="15.54296875" customWidth="1"/>
    <col min="14" max="14" width="11.08984375" customWidth="1"/>
    <col min="15" max="15" width="17.81640625" customWidth="1"/>
    <col min="16" max="16" width="10" customWidth="1"/>
  </cols>
  <sheetData>
    <row r="1" spans="1:16" ht="28.5" x14ac:dyDescent="0.65">
      <c r="A1" s="2" t="str">
        <f>RawMaterialsBEV!A1</f>
        <v>Solutions to cobalt supply chain problems for transitioning to a BEVs only future #21</v>
      </c>
    </row>
    <row r="3" spans="1:16" ht="15.5" x14ac:dyDescent="0.35">
      <c r="A3" s="1" t="str">
        <f>RawMaterialsBEV!A3</f>
        <v>Proprietary. © H. Mathiesen. This material can be used by others free of charge provided that the author H. Mathiesen is attributed and a clickable link is made visible to the location of used material on www.hmexperience.dk</v>
      </c>
    </row>
    <row r="4" spans="1:16" ht="15.5" x14ac:dyDescent="0.35">
      <c r="A4" s="1" t="str">
        <f>RawMaterialsBEV!A4</f>
        <v>Sources to all information used in this spreadsheet can also be found in associated PowerPoint presentation located also at www.hmexperience.dk</v>
      </c>
    </row>
    <row r="7" spans="1:16" ht="25.5" customHeight="1" thickBot="1" x14ac:dyDescent="0.65">
      <c r="B7" s="119" t="s">
        <v>130</v>
      </c>
      <c r="C7" s="120"/>
      <c r="D7" s="121"/>
      <c r="E7" s="121"/>
      <c r="F7" s="121"/>
      <c r="L7" s="119" t="str">
        <f t="shared" ref="L7:L8" si="0">B7</f>
        <v>Price of raw materials needed to make battery electric vehicles</v>
      </c>
      <c r="M7" s="120"/>
      <c r="N7" s="121"/>
      <c r="O7" s="121"/>
      <c r="P7" s="121"/>
    </row>
    <row r="8" spans="1:16" ht="15" thickTop="1" x14ac:dyDescent="0.35">
      <c r="B8" s="26" t="s">
        <v>2</v>
      </c>
      <c r="C8" s="27" t="s">
        <v>26</v>
      </c>
      <c r="D8" s="27" t="s">
        <v>36</v>
      </c>
      <c r="E8" s="27" t="s">
        <v>32</v>
      </c>
      <c r="F8" s="28" t="s">
        <v>33</v>
      </c>
      <c r="G8" s="4"/>
      <c r="H8" s="10" t="s">
        <v>56</v>
      </c>
      <c r="J8" s="10" t="s">
        <v>255</v>
      </c>
      <c r="L8" s="26" t="str">
        <f t="shared" si="0"/>
        <v>Material type</v>
      </c>
      <c r="M8" s="27" t="str">
        <f t="shared" ref="M8:M10" si="1">C8</f>
        <v xml:space="preserve">One average BEV </v>
      </c>
      <c r="N8" s="27" t="str">
        <f t="shared" ref="N8:N10" si="2">D8</f>
        <v xml:space="preserve">Price in USD </v>
      </c>
      <c r="O8" s="27" t="str">
        <f t="shared" ref="O8:O10" si="3">E8</f>
        <v xml:space="preserve">Price USD of needed </v>
      </c>
      <c r="P8" s="28" t="str">
        <f t="shared" ref="P8:P10" si="4">F8</f>
        <v xml:space="preserve">Date of </v>
      </c>
    </row>
    <row r="9" spans="1:16" x14ac:dyDescent="0.35">
      <c r="B9" s="29"/>
      <c r="C9" s="30" t="s">
        <v>8</v>
      </c>
      <c r="D9" s="10" t="s">
        <v>37</v>
      </c>
      <c r="E9" s="10" t="s">
        <v>31</v>
      </c>
      <c r="F9" s="31" t="s">
        <v>34</v>
      </c>
      <c r="G9" s="4"/>
      <c r="H9" s="10" t="s">
        <v>278</v>
      </c>
      <c r="J9" s="10" t="s">
        <v>277</v>
      </c>
      <c r="L9" s="29"/>
      <c r="M9" s="30" t="str">
        <f t="shared" si="1"/>
        <v>in kg per vehicle</v>
      </c>
      <c r="N9" s="10" t="str">
        <f t="shared" si="2"/>
        <v xml:space="preserve">per kg </v>
      </c>
      <c r="O9" s="10" t="str">
        <f t="shared" si="3"/>
        <v>material in BEV</v>
      </c>
      <c r="P9" s="31" t="str">
        <f t="shared" si="4"/>
        <v>price info</v>
      </c>
    </row>
    <row r="10" spans="1:16" x14ac:dyDescent="0.35">
      <c r="B10" s="18" t="s">
        <v>491</v>
      </c>
      <c r="C10" s="32">
        <f>RawMaterialsBEV!C10</f>
        <v>58.732800000000005</v>
      </c>
      <c r="D10" s="32">
        <f>J10/H30</f>
        <v>2.2810000000000001</v>
      </c>
      <c r="E10" s="32">
        <f t="shared" ref="E10:E24" si="5">D10*C10</f>
        <v>133.96951680000001</v>
      </c>
      <c r="F10" s="33">
        <v>44682</v>
      </c>
      <c r="G10" s="8"/>
      <c r="J10">
        <v>2281</v>
      </c>
      <c r="L10" s="18" t="s">
        <v>491</v>
      </c>
      <c r="M10" s="32">
        <f t="shared" si="1"/>
        <v>58.732800000000005</v>
      </c>
      <c r="N10" s="32">
        <f t="shared" si="2"/>
        <v>2.2810000000000001</v>
      </c>
      <c r="O10" s="32">
        <f t="shared" si="3"/>
        <v>133.96951680000001</v>
      </c>
      <c r="P10" s="33">
        <f t="shared" si="4"/>
        <v>44682</v>
      </c>
    </row>
    <row r="11" spans="1:16" x14ac:dyDescent="0.35">
      <c r="B11" s="18" t="s">
        <v>492</v>
      </c>
      <c r="C11" s="32">
        <v>0</v>
      </c>
      <c r="D11" s="191" t="s">
        <v>475</v>
      </c>
      <c r="E11" s="32">
        <v>0</v>
      </c>
      <c r="F11" s="33">
        <v>44905</v>
      </c>
      <c r="G11" s="8"/>
      <c r="L11" s="18" t="s">
        <v>348</v>
      </c>
      <c r="M11" s="32">
        <f t="shared" ref="M11:P13" si="6">C12</f>
        <v>61.824000000000005</v>
      </c>
      <c r="N11" s="32">
        <f t="shared" si="6"/>
        <v>25.42</v>
      </c>
      <c r="O11" s="32">
        <f t="shared" si="6"/>
        <v>1571.5660800000003</v>
      </c>
      <c r="P11" s="33">
        <f t="shared" si="6"/>
        <v>45036</v>
      </c>
    </row>
    <row r="12" spans="1:16" x14ac:dyDescent="0.35">
      <c r="B12" s="18" t="s">
        <v>348</v>
      </c>
      <c r="C12" s="32">
        <f>RawMaterialsBEV!C11</f>
        <v>61.824000000000005</v>
      </c>
      <c r="D12" s="32">
        <f>J12/H30</f>
        <v>25.42</v>
      </c>
      <c r="E12" s="32">
        <f t="shared" si="5"/>
        <v>1571.5660800000003</v>
      </c>
      <c r="F12" s="33">
        <v>45036</v>
      </c>
      <c r="G12" s="8"/>
      <c r="J12">
        <v>25420</v>
      </c>
      <c r="L12" s="18" t="s">
        <v>494</v>
      </c>
      <c r="M12" s="32">
        <f t="shared" si="6"/>
        <v>44.23489506041976</v>
      </c>
      <c r="N12" s="32">
        <f t="shared" si="6"/>
        <v>28.0147175</v>
      </c>
      <c r="O12" s="32">
        <f t="shared" si="6"/>
        <v>1239.2280887598049</v>
      </c>
      <c r="P12" s="33">
        <f t="shared" si="6"/>
        <v>45033</v>
      </c>
    </row>
    <row r="13" spans="1:16" x14ac:dyDescent="0.35">
      <c r="B13" s="18" t="s">
        <v>493</v>
      </c>
      <c r="C13" s="32">
        <f>RawMaterialsBEV!C12</f>
        <v>44.23489506041976</v>
      </c>
      <c r="D13" s="32">
        <f>H13*$H$34/$H$30</f>
        <v>28.0147175</v>
      </c>
      <c r="E13" s="32">
        <f t="shared" si="5"/>
        <v>1239.2280887598049</v>
      </c>
      <c r="F13" s="33">
        <v>45033</v>
      </c>
      <c r="G13" s="8"/>
      <c r="H13">
        <v>192500</v>
      </c>
      <c r="L13" s="18" t="s">
        <v>346</v>
      </c>
      <c r="M13" s="32">
        <f t="shared" si="6"/>
        <v>8.3462399999999999</v>
      </c>
      <c r="N13" s="32">
        <f t="shared" si="6"/>
        <v>148.47740884036463</v>
      </c>
      <c r="O13" s="32">
        <f t="shared" si="6"/>
        <v>1239.2280887598049</v>
      </c>
      <c r="P13" s="33">
        <f t="shared" si="6"/>
        <v>45033</v>
      </c>
    </row>
    <row r="14" spans="1:16" x14ac:dyDescent="0.35">
      <c r="B14" s="18" t="s">
        <v>346</v>
      </c>
      <c r="C14" s="32">
        <f>RawMaterialsBEV!C13</f>
        <v>8.3462399999999999</v>
      </c>
      <c r="D14" s="32">
        <f>H38</f>
        <v>148.47740884036463</v>
      </c>
      <c r="E14" s="32">
        <f>D14*C14</f>
        <v>1239.2280887598049</v>
      </c>
      <c r="F14" s="33">
        <f>F13</f>
        <v>45033</v>
      </c>
      <c r="G14" s="8"/>
      <c r="L14" s="18" t="s">
        <v>191</v>
      </c>
      <c r="M14" s="32">
        <f t="shared" ref="M14:M22" si="7">C16</f>
        <v>91</v>
      </c>
      <c r="N14" s="32">
        <f t="shared" ref="N14:N22" si="8">D16</f>
        <v>9.02</v>
      </c>
      <c r="O14" s="32">
        <f t="shared" ref="O14:O22" si="9">E16</f>
        <v>820.81999999999994</v>
      </c>
      <c r="P14" s="33">
        <f t="shared" ref="P14:P22" si="10">F16</f>
        <v>45010</v>
      </c>
    </row>
    <row r="15" spans="1:16" x14ac:dyDescent="0.35">
      <c r="B15" s="18" t="s">
        <v>478</v>
      </c>
      <c r="C15" s="32">
        <v>0</v>
      </c>
      <c r="D15" s="32">
        <f>J15/H30</f>
        <v>0.27900000000000003</v>
      </c>
      <c r="E15" s="32">
        <f>D15*C15</f>
        <v>0</v>
      </c>
      <c r="F15" s="33">
        <v>44774</v>
      </c>
      <c r="G15" s="8"/>
      <c r="J15">
        <v>279</v>
      </c>
      <c r="L15" s="18" t="s">
        <v>328</v>
      </c>
      <c r="M15" s="32">
        <f t="shared" si="7"/>
        <v>10</v>
      </c>
      <c r="N15" s="32">
        <f t="shared" si="8"/>
        <v>4.7297574999999998</v>
      </c>
      <c r="O15" s="32">
        <f t="shared" si="9"/>
        <v>47.297574999999995</v>
      </c>
      <c r="P15" s="33">
        <f t="shared" si="10"/>
        <v>45010</v>
      </c>
    </row>
    <row r="16" spans="1:16" x14ac:dyDescent="0.35">
      <c r="B16" s="18" t="s">
        <v>191</v>
      </c>
      <c r="C16" s="32">
        <f>RawMaterialsBEV!C14</f>
        <v>91</v>
      </c>
      <c r="D16" s="32">
        <f>4.1*H31</f>
        <v>9.02</v>
      </c>
      <c r="E16" s="32">
        <f t="shared" si="5"/>
        <v>820.81999999999994</v>
      </c>
      <c r="F16" s="33">
        <v>45010</v>
      </c>
      <c r="G16" s="8"/>
      <c r="L16" s="18" t="s">
        <v>248</v>
      </c>
      <c r="M16" s="32">
        <f t="shared" si="7"/>
        <v>20</v>
      </c>
      <c r="N16" s="32">
        <f t="shared" si="8"/>
        <v>3.9002307999999997</v>
      </c>
      <c r="O16" s="32">
        <f t="shared" si="9"/>
        <v>78.004615999999999</v>
      </c>
      <c r="P16" s="33">
        <f t="shared" si="10"/>
        <v>45031</v>
      </c>
    </row>
    <row r="17" spans="2:16" x14ac:dyDescent="0.35">
      <c r="B17" s="18" t="s">
        <v>328</v>
      </c>
      <c r="C17" s="32">
        <f>RawMaterialsBEV!C15</f>
        <v>10</v>
      </c>
      <c r="D17" s="32">
        <f>H17*$H$34/$H$30</f>
        <v>4.7297574999999998</v>
      </c>
      <c r="E17" s="32">
        <f t="shared" si="5"/>
        <v>47.297574999999995</v>
      </c>
      <c r="F17" s="33">
        <v>45010</v>
      </c>
      <c r="G17" s="8"/>
      <c r="H17">
        <v>32500</v>
      </c>
      <c r="L17" s="18" t="s">
        <v>252</v>
      </c>
      <c r="M17" s="32">
        <f t="shared" si="7"/>
        <v>17.5</v>
      </c>
      <c r="N17" s="32">
        <f t="shared" si="8"/>
        <v>2.847</v>
      </c>
      <c r="O17" s="32">
        <f t="shared" si="9"/>
        <v>49.822499999999998</v>
      </c>
      <c r="P17" s="33">
        <f t="shared" si="10"/>
        <v>45031</v>
      </c>
    </row>
    <row r="18" spans="2:16" x14ac:dyDescent="0.35">
      <c r="B18" s="18" t="s">
        <v>248</v>
      </c>
      <c r="C18" s="32">
        <f>RawMaterialsBEV!C16</f>
        <v>20</v>
      </c>
      <c r="D18" s="32">
        <f>H18*$H$34/$H$30</f>
        <v>3.9002307999999997</v>
      </c>
      <c r="E18" s="32">
        <f>D18*C18</f>
        <v>78.004615999999999</v>
      </c>
      <c r="F18" s="33">
        <v>45031</v>
      </c>
      <c r="G18" s="8"/>
      <c r="H18">
        <v>26800</v>
      </c>
      <c r="L18" s="35" t="s">
        <v>347</v>
      </c>
      <c r="M18" s="40">
        <f t="shared" si="7"/>
        <v>6.1824000000000003</v>
      </c>
      <c r="N18" s="40">
        <f t="shared" si="8"/>
        <v>34.18</v>
      </c>
      <c r="O18" s="40">
        <f t="shared" si="9"/>
        <v>211.31443200000001</v>
      </c>
      <c r="P18" s="41">
        <f t="shared" si="10"/>
        <v>45042</v>
      </c>
    </row>
    <row r="19" spans="2:16" x14ac:dyDescent="0.35">
      <c r="B19" s="18" t="s">
        <v>252</v>
      </c>
      <c r="C19" s="32">
        <f>RawMaterialsBEV!C17</f>
        <v>17.5</v>
      </c>
      <c r="D19" s="32">
        <f>J19/H30</f>
        <v>2.847</v>
      </c>
      <c r="E19" s="32">
        <f>D19*C19</f>
        <v>49.822499999999998</v>
      </c>
      <c r="F19" s="33">
        <v>45031</v>
      </c>
      <c r="G19" s="8"/>
      <c r="J19">
        <v>2847</v>
      </c>
      <c r="L19" s="18" t="s">
        <v>190</v>
      </c>
      <c r="M19" s="32">
        <f t="shared" si="7"/>
        <v>0.9</v>
      </c>
      <c r="N19" s="32">
        <f t="shared" si="8"/>
        <v>103.32701</v>
      </c>
      <c r="O19" s="32">
        <f t="shared" si="9"/>
        <v>92.994309000000001</v>
      </c>
      <c r="P19" s="33">
        <f t="shared" si="10"/>
        <v>45010</v>
      </c>
    </row>
    <row r="20" spans="2:16" x14ac:dyDescent="0.35">
      <c r="B20" s="35" t="s">
        <v>347</v>
      </c>
      <c r="C20" s="40">
        <f>RawMaterialsBEV!C18</f>
        <v>6.1824000000000003</v>
      </c>
      <c r="D20" s="40">
        <f>34180/H30</f>
        <v>34.18</v>
      </c>
      <c r="E20" s="40">
        <f t="shared" si="5"/>
        <v>211.31443200000001</v>
      </c>
      <c r="F20" s="41">
        <v>45042</v>
      </c>
      <c r="G20" s="8"/>
      <c r="J20">
        <v>34930</v>
      </c>
      <c r="L20" s="18" t="s">
        <v>497</v>
      </c>
      <c r="M20" s="32">
        <f t="shared" si="7"/>
        <v>169</v>
      </c>
      <c r="N20" s="32">
        <f t="shared" si="8"/>
        <v>2.3479999999999999</v>
      </c>
      <c r="O20" s="32">
        <f t="shared" si="9"/>
        <v>396.81199999999995</v>
      </c>
      <c r="P20" s="33">
        <f t="shared" si="10"/>
        <v>45010</v>
      </c>
    </row>
    <row r="21" spans="2:16" x14ac:dyDescent="0.35">
      <c r="B21" s="18" t="s">
        <v>190</v>
      </c>
      <c r="C21" s="32">
        <f>RawMaterialsBEV!C19</f>
        <v>0.9</v>
      </c>
      <c r="D21" s="32">
        <f>H21*$H$34/$H$30</f>
        <v>103.32701</v>
      </c>
      <c r="E21" s="32">
        <f t="shared" si="5"/>
        <v>92.994309000000001</v>
      </c>
      <c r="F21" s="33">
        <v>45010</v>
      </c>
      <c r="G21" s="8"/>
      <c r="H21">
        <v>710000</v>
      </c>
      <c r="L21" s="18" t="s">
        <v>193</v>
      </c>
      <c r="M21" s="32">
        <f t="shared" si="7"/>
        <v>900</v>
      </c>
      <c r="N21" s="32">
        <f t="shared" si="8"/>
        <v>0.59449413500000003</v>
      </c>
      <c r="O21" s="32">
        <f t="shared" si="9"/>
        <v>535.04472150000004</v>
      </c>
      <c r="P21" s="33">
        <f t="shared" si="10"/>
        <v>45010</v>
      </c>
    </row>
    <row r="22" spans="2:16" x14ac:dyDescent="0.35">
      <c r="B22" s="18" t="s">
        <v>497</v>
      </c>
      <c r="C22" s="32">
        <f>RawMaterialsBEV!C20</f>
        <v>169</v>
      </c>
      <c r="D22" s="32">
        <f>2348/H30</f>
        <v>2.3479999999999999</v>
      </c>
      <c r="E22" s="32">
        <f t="shared" si="5"/>
        <v>396.81199999999995</v>
      </c>
      <c r="F22" s="33">
        <v>45010</v>
      </c>
      <c r="G22" s="8"/>
      <c r="L22" s="18" t="str">
        <f>B24</f>
        <v>Plastics textile &amp; other</v>
      </c>
      <c r="M22" s="32">
        <f t="shared" si="7"/>
        <v>250</v>
      </c>
      <c r="N22" s="32">
        <f t="shared" si="8"/>
        <v>4</v>
      </c>
      <c r="O22" s="32">
        <f t="shared" si="9"/>
        <v>1000</v>
      </c>
      <c r="P22" s="33">
        <f t="shared" si="10"/>
        <v>45010</v>
      </c>
    </row>
    <row r="23" spans="2:16" ht="15" thickBot="1" x14ac:dyDescent="0.4">
      <c r="B23" s="18" t="s">
        <v>193</v>
      </c>
      <c r="C23" s="32">
        <f>RawMaterialsBEV!C21</f>
        <v>900</v>
      </c>
      <c r="D23" s="32">
        <f>H23*$H$34/$H$30</f>
        <v>0.59449413500000003</v>
      </c>
      <c r="E23" s="32">
        <f t="shared" si="5"/>
        <v>535.04472150000004</v>
      </c>
      <c r="F23" s="33">
        <v>45010</v>
      </c>
      <c r="G23" s="8"/>
      <c r="H23">
        <v>4085</v>
      </c>
      <c r="L23" s="22" t="str">
        <f>B25</f>
        <v>Total vehicle weight</v>
      </c>
      <c r="M23" s="82">
        <f>C25</f>
        <v>1629.3740950604197</v>
      </c>
      <c r="N23" s="34" t="str">
        <f>D25</f>
        <v>Total cost</v>
      </c>
      <c r="O23" s="34">
        <f>E25</f>
        <v>6176.8738390598055</v>
      </c>
      <c r="P23" s="25"/>
    </row>
    <row r="24" spans="2:16" ht="15" thickTop="1" x14ac:dyDescent="0.35">
      <c r="B24" s="18" t="s">
        <v>338</v>
      </c>
      <c r="C24" s="32">
        <f>RawMaterialsBEV!C22</f>
        <v>250</v>
      </c>
      <c r="D24" s="32">
        <v>4</v>
      </c>
      <c r="E24" s="32">
        <f t="shared" si="5"/>
        <v>1000</v>
      </c>
      <c r="F24" s="33">
        <v>45010</v>
      </c>
      <c r="L24" s="118" t="str">
        <f>B26</f>
        <v>Sources: Follow link below video to download spreadsheet containing clickable sources</v>
      </c>
    </row>
    <row r="25" spans="2:16" ht="15" thickBot="1" x14ac:dyDescent="0.4">
      <c r="B25" s="22" t="s">
        <v>25</v>
      </c>
      <c r="C25" s="82">
        <f>SUM(C10:C13,C16:C24)</f>
        <v>1629.3740950604197</v>
      </c>
      <c r="D25" s="34" t="s">
        <v>55</v>
      </c>
      <c r="E25" s="34">
        <f>SUM(E10:E13,E16:E24)</f>
        <v>6176.8738390598055</v>
      </c>
      <c r="F25" s="25"/>
    </row>
    <row r="26" spans="2:16" ht="15" thickTop="1" x14ac:dyDescent="0.35">
      <c r="B26" s="118" t="s">
        <v>496</v>
      </c>
    </row>
    <row r="27" spans="2:16" x14ac:dyDescent="0.35">
      <c r="B27" s="6" t="str">
        <f>RawMaterialsBEV!B25</f>
        <v>Sources and attribution</v>
      </c>
      <c r="C27" s="6"/>
      <c r="D27" s="6"/>
      <c r="E27" s="7"/>
      <c r="F27" s="7"/>
      <c r="H27" s="4" t="s">
        <v>6</v>
      </c>
    </row>
    <row r="28" spans="2:16" x14ac:dyDescent="0.35">
      <c r="H28" s="5">
        <v>20000000</v>
      </c>
      <c r="I28" t="s">
        <v>498</v>
      </c>
    </row>
    <row r="29" spans="2:16" x14ac:dyDescent="0.35">
      <c r="B29" s="4" t="str">
        <f>RawMaterialsBEV!B27</f>
        <v>Material type</v>
      </c>
      <c r="C29" s="4" t="str">
        <f>RawMaterialsBEV!C27</f>
        <v xml:space="preserve">1 average BEV </v>
      </c>
      <c r="D29" s="4" t="s">
        <v>30</v>
      </c>
      <c r="E29" s="4" t="s">
        <v>32</v>
      </c>
      <c r="F29" s="4" t="s">
        <v>33</v>
      </c>
      <c r="H29" s="5">
        <v>100000000</v>
      </c>
      <c r="I29" t="s">
        <v>499</v>
      </c>
    </row>
    <row r="30" spans="2:16" x14ac:dyDescent="0.35">
      <c r="B30" s="4"/>
      <c r="C30" s="4" t="str">
        <f>RawMaterialsBEV!C28</f>
        <v>in kg per vehicle</v>
      </c>
      <c r="E30" s="4" t="s">
        <v>31</v>
      </c>
      <c r="F30" t="s">
        <v>34</v>
      </c>
      <c r="H30">
        <v>1000</v>
      </c>
      <c r="I30" t="s">
        <v>16</v>
      </c>
    </row>
    <row r="31" spans="2:16" x14ac:dyDescent="0.35">
      <c r="B31" s="4" t="str">
        <f>RawMaterialsBEV!B29</f>
        <v>Graphite battery cells 19% 83kWh</v>
      </c>
      <c r="C31" s="9" t="s">
        <v>27</v>
      </c>
      <c r="D31" s="9" t="s">
        <v>490</v>
      </c>
      <c r="E31" t="s">
        <v>15</v>
      </c>
      <c r="H31">
        <v>2.2000000000000002</v>
      </c>
      <c r="I31" t="s">
        <v>42</v>
      </c>
    </row>
    <row r="32" spans="2:16" x14ac:dyDescent="0.35">
      <c r="B32" s="4" t="str">
        <f>B11</f>
        <v>Hard carbon (Na-ion cells, anode)</v>
      </c>
      <c r="C32" t="s">
        <v>476</v>
      </c>
      <c r="D32" s="9" t="s">
        <v>477</v>
      </c>
      <c r="E32" t="s">
        <v>15</v>
      </c>
      <c r="H32" t="s">
        <v>43</v>
      </c>
      <c r="I32" s="9" t="s">
        <v>44</v>
      </c>
    </row>
    <row r="33" spans="2:10" x14ac:dyDescent="0.35">
      <c r="B33" s="4" t="str">
        <f>RawMaterialsBEV!B30</f>
        <v>Nickel battery cells 20% 83kWh</v>
      </c>
      <c r="C33" s="9" t="s">
        <v>14</v>
      </c>
      <c r="D33" s="9" t="s">
        <v>35</v>
      </c>
      <c r="E33" t="s">
        <v>15</v>
      </c>
      <c r="I33" s="9"/>
    </row>
    <row r="34" spans="2:10" x14ac:dyDescent="0.35">
      <c r="B34" s="4" t="str">
        <f>RawMaterialsBEV!B31</f>
        <v xml:space="preserve">Lithium carbonate or equivalent </v>
      </c>
      <c r="C34" s="9" t="s">
        <v>40</v>
      </c>
      <c r="D34" s="9" t="s">
        <v>41</v>
      </c>
      <c r="E34" t="s">
        <v>15</v>
      </c>
      <c r="H34">
        <v>0.14553099999999999</v>
      </c>
      <c r="I34" t="s">
        <v>157</v>
      </c>
      <c r="J34" s="83">
        <v>45033</v>
      </c>
    </row>
    <row r="35" spans="2:10" x14ac:dyDescent="0.35">
      <c r="B35" s="4" t="str">
        <f>RawMaterialsBEV!$B$32</f>
        <v>Lithium battery cells 2.7% 83kWh</v>
      </c>
      <c r="C35" t="s">
        <v>15</v>
      </c>
      <c r="H35" t="s">
        <v>90</v>
      </c>
    </row>
    <row r="36" spans="2:10" x14ac:dyDescent="0.35">
      <c r="B36" s="4" t="s">
        <v>459</v>
      </c>
      <c r="C36" s="9" t="s">
        <v>458</v>
      </c>
      <c r="D36" s="9" t="s">
        <v>460</v>
      </c>
      <c r="E36" t="s">
        <v>15</v>
      </c>
    </row>
    <row r="37" spans="2:10" x14ac:dyDescent="0.35">
      <c r="B37" s="4" t="str">
        <f>RawMaterialsBEV!B33</f>
        <v>Copper (battery, motor, wires)</v>
      </c>
      <c r="C37" t="str">
        <f>RawMaterialsBEV!C33</f>
        <v>-</v>
      </c>
      <c r="D37" s="9" t="s">
        <v>46</v>
      </c>
      <c r="E37" t="s">
        <v>15</v>
      </c>
    </row>
    <row r="38" spans="2:10" x14ac:dyDescent="0.35">
      <c r="B38" s="4" t="str">
        <f>RawMaterialsBEV!B34</f>
        <v>Manganese (batteries, steel alloy)</v>
      </c>
      <c r="C38" t="str">
        <f>RawMaterialsBEV!C34</f>
        <v>https://chem.libretexts.org/Ancillary_Materials/Laboratory_Experiments/Wet_Lab_Experiments/Analytical_Chemistry_Labs/Determination_of_the_Mn_Content_of_Steel</v>
      </c>
      <c r="D38" s="9" t="s">
        <v>47</v>
      </c>
      <c r="E38" t="s">
        <v>15</v>
      </c>
      <c r="H38" s="65">
        <f>D13*(1/RawMaterialsBEV!I31)</f>
        <v>148.47740884036463</v>
      </c>
      <c r="I38" t="s">
        <v>91</v>
      </c>
    </row>
    <row r="39" spans="2:10" x14ac:dyDescent="0.35">
      <c r="B39" s="4" t="str">
        <f>RawMaterialsBEV!B35</f>
        <v>Magnesium (VW Beetle)</v>
      </c>
      <c r="D39" s="9" t="s">
        <v>249</v>
      </c>
      <c r="E39" t="s">
        <v>15</v>
      </c>
    </row>
    <row r="40" spans="2:10" x14ac:dyDescent="0.35">
      <c r="B40" s="18" t="s">
        <v>252</v>
      </c>
      <c r="D40" s="9" t="s">
        <v>510</v>
      </c>
      <c r="E40" t="s">
        <v>15</v>
      </c>
    </row>
    <row r="41" spans="2:10" x14ac:dyDescent="0.35">
      <c r="B41" s="4" t="str">
        <f>RawMaterialsBEV!B37</f>
        <v>Cobalt in battery cells 2%, 83kWh</v>
      </c>
      <c r="C41" t="str">
        <f>RawMaterialsBEV!C37</f>
        <v>See notes below</v>
      </c>
      <c r="D41" s="9" t="s">
        <v>45</v>
      </c>
      <c r="E41" t="s">
        <v>15</v>
      </c>
    </row>
    <row r="42" spans="2:10" x14ac:dyDescent="0.35">
      <c r="B42" s="4" t="str">
        <f>RawMaterialsBEV!B38</f>
        <v>Rare earth (fx Nd, Pr, Dy, Tb)</v>
      </c>
      <c r="C42" t="str">
        <f>RawMaterialsBEV!C38</f>
        <v>-</v>
      </c>
      <c r="D42" s="9" t="s">
        <v>48</v>
      </c>
      <c r="E42" t="s">
        <v>49</v>
      </c>
    </row>
    <row r="43" spans="2:10" x14ac:dyDescent="0.35">
      <c r="B43" s="4" t="str">
        <f>RawMaterialsBEV!B39</f>
        <v>Aluminum (vehicle GM Volt))</v>
      </c>
      <c r="C43" t="str">
        <f>RawMaterialsBEV!C39</f>
        <v>-</v>
      </c>
      <c r="D43" s="9" t="s">
        <v>50</v>
      </c>
      <c r="E43" t="s">
        <v>15</v>
      </c>
    </row>
    <row r="44" spans="2:10" x14ac:dyDescent="0.35">
      <c r="B44" s="4" t="str">
        <f>RawMaterialsBEV!B40</f>
        <v>Crude steel https://kdmfab.com/mild-steel-vs-stainless-steel/</v>
      </c>
      <c r="C44" t="str">
        <f>RawMaterialsBEV!C40</f>
        <v>My own estimate</v>
      </c>
      <c r="D44" s="9" t="s">
        <v>51</v>
      </c>
      <c r="E44" t="s">
        <v>15</v>
      </c>
    </row>
    <row r="45" spans="2:10" x14ac:dyDescent="0.35">
      <c r="B45" s="4" t="str">
        <f>RawMaterialsBEV!B41</f>
        <v>Other textile and plastic</v>
      </c>
      <c r="C45" t="str">
        <f>RawMaterialsBEV!C41</f>
        <v>My own estimate</v>
      </c>
      <c r="D45" t="s">
        <v>53</v>
      </c>
      <c r="E45" t="s">
        <v>15</v>
      </c>
    </row>
  </sheetData>
  <hyperlinks>
    <hyperlink ref="I32" r:id="rId1" xr:uid="{F2DB019C-C5B0-47E1-B2FC-FE95179BB327}"/>
    <hyperlink ref="C31" r:id="rId2" location=":~:text=Graphite%20is%20thus%20considered%20indispensable,containing%2020%2D30%25%20graphite." xr:uid="{D26CEEFC-2988-4AF3-B8E5-E60126C7E035}"/>
    <hyperlink ref="C33" r:id="rId3" xr:uid="{4CA6625B-EC57-41FF-96B8-427E8AAA3D5F}"/>
    <hyperlink ref="C34" r:id="rId4" xr:uid="{ABBA38C2-8F95-4002-B037-DCE81B253A54}"/>
    <hyperlink ref="D33" r:id="rId5" xr:uid="{38B0FA00-F0D4-439D-961C-9E6ED01B6D2F}"/>
    <hyperlink ref="D34" r:id="rId6" xr:uid="{E46A920F-709D-44E8-9C7D-A148FC0489A6}"/>
    <hyperlink ref="D37" r:id="rId7" xr:uid="{4BDC15F0-0D5A-4D93-8623-E0B507DC7BC4}"/>
    <hyperlink ref="D38" r:id="rId8" xr:uid="{3DF82D6D-9798-4277-B846-F88C6BABF82B}"/>
    <hyperlink ref="D41" r:id="rId9" xr:uid="{CF487FAC-7BEE-4BFF-887D-AE63A84AD4F6}"/>
    <hyperlink ref="D42" r:id="rId10" xr:uid="{B82EA03E-CBA8-4339-AA59-A000AB1CE05F}"/>
    <hyperlink ref="D43" r:id="rId11" xr:uid="{AD7E383F-8C05-4552-9CC9-BF0C05C19F4D}"/>
    <hyperlink ref="D44" r:id="rId12" xr:uid="{98284CE7-9A80-495A-9921-AC0949BB9DD2}"/>
    <hyperlink ref="C36" r:id="rId13" xr:uid="{DAE0A4EC-0976-49E8-84CE-5F167855162C}"/>
    <hyperlink ref="D36" r:id="rId14" location=":~:text=In%20August%202022%2C%20the%20sodium%20carbonate%20price%20per,in%20February%202022%20an%20increase%20of%2015%25%20m-o-m." xr:uid="{1133D90F-F24C-4AD4-9B28-B14032619D17}"/>
    <hyperlink ref="D32" r:id="rId15" xr:uid="{8266D33A-7CED-48DC-8AB5-10650ACCA0C1}"/>
    <hyperlink ref="D31" r:id="rId16" xr:uid="{DDF60068-A860-4230-9D75-ED1E7BC3FEA0}"/>
    <hyperlink ref="D40" r:id="rId17" xr:uid="{3057BBA3-1372-43BF-A31D-05ADA845C3CC}"/>
  </hyperlinks>
  <pageMargins left="0.7" right="0.7" top="0.75" bottom="0.75" header="0.3" footer="0.3"/>
  <pageSetup orientation="portrait" verticalDpi="0" r:id="rId1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9CDD7-7E5A-4683-A4BF-52B05105A1D4}">
  <dimension ref="A1:L29"/>
  <sheetViews>
    <sheetView workbookViewId="0">
      <selection activeCell="A7" sqref="A7"/>
    </sheetView>
  </sheetViews>
  <sheetFormatPr defaultRowHeight="14.5" x14ac:dyDescent="0.35"/>
  <cols>
    <col min="3" max="3" width="17" customWidth="1"/>
    <col min="4" max="4" width="20.6328125" customWidth="1"/>
    <col min="5" max="5" width="16.7265625" customWidth="1"/>
    <col min="9" max="9" width="21.90625" customWidth="1"/>
    <col min="10" max="10" width="19.08984375" customWidth="1"/>
    <col min="11" max="11" width="9.453125" customWidth="1"/>
  </cols>
  <sheetData>
    <row r="1" spans="1:11" ht="28.5" x14ac:dyDescent="0.65">
      <c r="A1" s="2" t="str">
        <f>RawMaterialsBEV!A1</f>
        <v>Solutions to cobalt supply chain problems for transitioning to a BEVs only future #21</v>
      </c>
    </row>
    <row r="3" spans="1:11" ht="15.5" x14ac:dyDescent="0.35">
      <c r="A3" s="1" t="str">
        <f>RawMaterialsBEV!A3</f>
        <v>Proprietary. © H. Mathiesen. This material can be used by others free of charge provided that the author H. Mathiesen is attributed and a clickable link is made visible to the location of used material on www.hmexperience.dk</v>
      </c>
    </row>
    <row r="4" spans="1:11" ht="15.5" x14ac:dyDescent="0.35">
      <c r="A4" s="1" t="str">
        <f>RawMaterialsBEV!A4</f>
        <v>Sources to all information used in this spreadsheet can also be found in associated PowerPoint presentation located also at www.hmexperience.dk</v>
      </c>
    </row>
    <row r="10" spans="1:11" ht="18.5" x14ac:dyDescent="0.45">
      <c r="C10" s="77" t="s">
        <v>232</v>
      </c>
      <c r="I10" s="77" t="s">
        <v>236</v>
      </c>
    </row>
    <row r="11" spans="1:11" x14ac:dyDescent="0.35">
      <c r="C11" s="4"/>
      <c r="I11" s="4"/>
    </row>
    <row r="12" spans="1:11" x14ac:dyDescent="0.35">
      <c r="C12" s="66" t="s">
        <v>123</v>
      </c>
      <c r="D12" s="66" t="s">
        <v>96</v>
      </c>
      <c r="E12" s="66" t="s">
        <v>125</v>
      </c>
      <c r="I12" s="66" t="s">
        <v>123</v>
      </c>
      <c r="J12" s="66" t="s">
        <v>96</v>
      </c>
      <c r="K12" s="66" t="s">
        <v>125</v>
      </c>
    </row>
    <row r="13" spans="1:11" x14ac:dyDescent="0.35">
      <c r="C13" s="4"/>
      <c r="I13" s="4"/>
    </row>
    <row r="14" spans="1:11" x14ac:dyDescent="0.35">
      <c r="C14" s="76" t="s">
        <v>104</v>
      </c>
      <c r="D14" s="5">
        <v>17000000</v>
      </c>
      <c r="E14" s="8">
        <f>D14/D$27</f>
        <v>0.64270559395826499</v>
      </c>
      <c r="I14" s="76" t="s">
        <v>234</v>
      </c>
      <c r="J14" s="5">
        <v>800</v>
      </c>
      <c r="K14" s="8">
        <f t="shared" ref="K14:K24" si="0">J14/J$24</f>
        <v>0.78277886497064575</v>
      </c>
    </row>
    <row r="15" spans="1:11" x14ac:dyDescent="0.35">
      <c r="C15" s="76" t="s">
        <v>98</v>
      </c>
      <c r="D15" s="5">
        <v>2600000</v>
      </c>
      <c r="E15" s="8">
        <f t="shared" ref="E15:E27" si="1">D15/D$27</f>
        <v>9.8296149664205232E-2</v>
      </c>
      <c r="I15" s="76" t="s">
        <v>227</v>
      </c>
      <c r="J15" s="5">
        <v>65</v>
      </c>
      <c r="K15" s="8">
        <f t="shared" si="0"/>
        <v>6.3600782778864967E-2</v>
      </c>
    </row>
    <row r="16" spans="1:11" x14ac:dyDescent="0.35">
      <c r="C16" s="76" t="s">
        <v>226</v>
      </c>
      <c r="D16" s="5">
        <v>1800000</v>
      </c>
      <c r="E16" s="8">
        <f t="shared" si="1"/>
        <v>6.8051180536757461E-2</v>
      </c>
      <c r="I16" s="76" t="s">
        <v>119</v>
      </c>
      <c r="J16" s="5">
        <v>50</v>
      </c>
      <c r="K16" s="8">
        <f t="shared" si="0"/>
        <v>4.8923679060665359E-2</v>
      </c>
    </row>
    <row r="17" spans="3:12" x14ac:dyDescent="0.35">
      <c r="C17" s="76" t="s">
        <v>101</v>
      </c>
      <c r="D17" s="5">
        <v>1500000</v>
      </c>
      <c r="E17" s="8">
        <f t="shared" si="1"/>
        <v>5.6709317113964555E-2</v>
      </c>
      <c r="I17" s="76" t="s">
        <v>235</v>
      </c>
      <c r="J17" s="5">
        <v>25</v>
      </c>
      <c r="K17" s="8">
        <f t="shared" si="0"/>
        <v>2.446183953033268E-2</v>
      </c>
    </row>
    <row r="18" spans="3:12" x14ac:dyDescent="0.35">
      <c r="C18" s="76" t="s">
        <v>227</v>
      </c>
      <c r="D18" s="5">
        <v>950000</v>
      </c>
      <c r="E18" s="8">
        <f t="shared" si="1"/>
        <v>3.5915900838844217E-2</v>
      </c>
      <c r="I18" s="76" t="s">
        <v>111</v>
      </c>
      <c r="J18" s="5">
        <v>23</v>
      </c>
      <c r="K18" s="8">
        <f t="shared" si="0"/>
        <v>2.2504892367906065E-2</v>
      </c>
    </row>
    <row r="19" spans="3:12" x14ac:dyDescent="0.35">
      <c r="C19" s="76" t="s">
        <v>99</v>
      </c>
      <c r="D19" s="5">
        <v>800000</v>
      </c>
      <c r="E19" s="8">
        <f t="shared" si="1"/>
        <v>3.0244969127447764E-2</v>
      </c>
      <c r="I19" s="76" t="s">
        <v>238</v>
      </c>
      <c r="J19" s="5">
        <v>19</v>
      </c>
      <c r="K19" s="8">
        <f t="shared" si="0"/>
        <v>1.8590998043052837E-2</v>
      </c>
    </row>
    <row r="20" spans="3:12" x14ac:dyDescent="0.35">
      <c r="C20" s="76" t="s">
        <v>118</v>
      </c>
      <c r="D20" s="5">
        <v>620000</v>
      </c>
      <c r="E20" s="8">
        <f t="shared" si="1"/>
        <v>2.3439851073772017E-2</v>
      </c>
      <c r="I20" s="76" t="s">
        <v>239</v>
      </c>
      <c r="J20" s="5">
        <v>15</v>
      </c>
      <c r="K20" s="8">
        <f t="shared" si="0"/>
        <v>1.4677103718199608E-2</v>
      </c>
    </row>
    <row r="21" spans="3:12" x14ac:dyDescent="0.35">
      <c r="C21" s="76" t="s">
        <v>228</v>
      </c>
      <c r="D21" s="5">
        <v>510000</v>
      </c>
      <c r="E21" s="8">
        <f t="shared" si="1"/>
        <v>1.928116781874795E-2</v>
      </c>
      <c r="I21" s="76" t="s">
        <v>240</v>
      </c>
      <c r="J21" s="5">
        <v>10</v>
      </c>
      <c r="K21" s="8">
        <f t="shared" si="0"/>
        <v>9.7847358121330719E-3</v>
      </c>
    </row>
    <row r="22" spans="3:12" x14ac:dyDescent="0.35">
      <c r="C22" s="76" t="s">
        <v>229</v>
      </c>
      <c r="D22" s="5">
        <v>480000</v>
      </c>
      <c r="E22" s="8">
        <f t="shared" si="1"/>
        <v>1.8146981476468659E-2</v>
      </c>
      <c r="I22" s="76" t="s">
        <v>241</v>
      </c>
      <c r="J22" s="5">
        <v>10</v>
      </c>
      <c r="K22" s="8">
        <f t="shared" si="0"/>
        <v>9.7847358121330719E-3</v>
      </c>
    </row>
    <row r="23" spans="3:12" x14ac:dyDescent="0.35">
      <c r="C23" s="76" t="s">
        <v>230</v>
      </c>
      <c r="D23" s="5">
        <v>190000</v>
      </c>
      <c r="E23" s="8">
        <f t="shared" si="1"/>
        <v>7.1831801677688439E-3</v>
      </c>
      <c r="I23" s="76" t="s">
        <v>237</v>
      </c>
      <c r="J23" s="5">
        <v>5</v>
      </c>
      <c r="K23" s="8">
        <f t="shared" si="0"/>
        <v>4.8923679060665359E-3</v>
      </c>
    </row>
    <row r="24" spans="3:12" x14ac:dyDescent="0.35">
      <c r="C24" s="76" t="s">
        <v>102</v>
      </c>
      <c r="D24" s="5">
        <v>180</v>
      </c>
      <c r="E24" s="8">
        <f t="shared" si="1"/>
        <v>6.8051180536757464E-6</v>
      </c>
      <c r="I24" s="76" t="s">
        <v>233</v>
      </c>
      <c r="J24" s="78">
        <f>SUM(J14:J23)</f>
        <v>1022</v>
      </c>
      <c r="K24" s="79">
        <f t="shared" si="0"/>
        <v>1</v>
      </c>
    </row>
    <row r="25" spans="3:12" x14ac:dyDescent="0.35">
      <c r="C25" s="76" t="s">
        <v>110</v>
      </c>
      <c r="D25" s="5">
        <v>100</v>
      </c>
      <c r="E25" s="8">
        <f t="shared" si="1"/>
        <v>3.7806211409309704E-6</v>
      </c>
    </row>
    <row r="26" spans="3:12" x14ac:dyDescent="0.35">
      <c r="C26" s="76" t="s">
        <v>231</v>
      </c>
      <c r="D26" s="5">
        <v>400</v>
      </c>
      <c r="E26" s="8">
        <f t="shared" si="1"/>
        <v>1.5122484563723882E-5</v>
      </c>
      <c r="I26" s="4" t="s">
        <v>218</v>
      </c>
      <c r="J26" s="9" t="s">
        <v>242</v>
      </c>
      <c r="K26" t="s">
        <v>15</v>
      </c>
    </row>
    <row r="27" spans="3:12" x14ac:dyDescent="0.35">
      <c r="C27" s="76" t="s">
        <v>233</v>
      </c>
      <c r="D27" s="78">
        <f>SUM(D14:D26)</f>
        <v>26450680</v>
      </c>
      <c r="E27" s="79">
        <f t="shared" si="1"/>
        <v>1</v>
      </c>
      <c r="I27" s="76" t="s">
        <v>243</v>
      </c>
      <c r="K27" s="9" t="s">
        <v>244</v>
      </c>
      <c r="L27" t="s">
        <v>15</v>
      </c>
    </row>
    <row r="29" spans="3:12" x14ac:dyDescent="0.35">
      <c r="C29" s="4" t="s">
        <v>245</v>
      </c>
      <c r="D29" s="9" t="s">
        <v>246</v>
      </c>
      <c r="E29" t="s">
        <v>15</v>
      </c>
    </row>
  </sheetData>
  <hyperlinks>
    <hyperlink ref="J26" r:id="rId1" xr:uid="{E22823B8-24EA-4037-B465-2B8053A0CC4E}"/>
    <hyperlink ref="K27" r:id="rId2" xr:uid="{6A30677D-41E8-4924-862F-8325F9F047B9}"/>
    <hyperlink ref="D29" r:id="rId3" xr:uid="{67A5D0A0-3D1F-4C47-B394-A49645E206AE}"/>
  </hyperlinks>
  <pageMargins left="0.7" right="0.7" top="0.75" bottom="0.75" header="0.3" footer="0.3"/>
  <pageSetup orientation="portrait" verticalDpi="0"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EE275-11C4-4A9F-A0E5-DB3E20274B4C}">
  <dimension ref="A1:O34"/>
  <sheetViews>
    <sheetView workbookViewId="0">
      <selection activeCell="I11" sqref="I11"/>
    </sheetView>
  </sheetViews>
  <sheetFormatPr defaultRowHeight="14.5" x14ac:dyDescent="0.35"/>
  <cols>
    <col min="4" max="4" width="15.1796875" customWidth="1"/>
    <col min="5" max="5" width="28.36328125" customWidth="1"/>
    <col min="6" max="6" width="27.453125" customWidth="1"/>
    <col min="9" max="9" width="16.7265625" customWidth="1"/>
    <col min="10" max="10" width="21.90625" customWidth="1"/>
    <col min="11" max="11" width="16.6328125" customWidth="1"/>
    <col min="12" max="12" width="9.08984375" customWidth="1"/>
    <col min="13" max="13" width="16.54296875" customWidth="1"/>
    <col min="14" max="14" width="9.08984375" customWidth="1"/>
  </cols>
  <sheetData>
    <row r="1" spans="1:14" ht="28.5" x14ac:dyDescent="0.65">
      <c r="A1" s="2" t="str">
        <f>RawMaterialsBEV!A1</f>
        <v>Solutions to cobalt supply chain problems for transitioning to a BEVs only future #21</v>
      </c>
    </row>
    <row r="3" spans="1:14" ht="15.5" x14ac:dyDescent="0.35">
      <c r="A3" s="1" t="str">
        <f>RawMaterialsBEV!A3</f>
        <v>Proprietary. © H. Mathiesen. This material can be used by others free of charge provided that the author H. Mathiesen is attributed and a clickable link is made visible to the location of used material on www.hmexperience.dk</v>
      </c>
    </row>
    <row r="4" spans="1:14" ht="15.5" x14ac:dyDescent="0.35">
      <c r="A4" s="1" t="str">
        <f>RawMaterialsBEV!A4</f>
        <v>Sources to all information used in this spreadsheet can also be found in associated PowerPoint presentation located also at www.hmexperience.dk</v>
      </c>
    </row>
    <row r="8" spans="1:14" ht="21.5" thickBot="1" x14ac:dyDescent="0.55000000000000004">
      <c r="D8" s="11" t="s">
        <v>426</v>
      </c>
      <c r="J8" s="11" t="s">
        <v>445</v>
      </c>
    </row>
    <row r="9" spans="1:14" ht="15" thickTop="1" x14ac:dyDescent="0.35">
      <c r="D9" s="4" t="s">
        <v>123</v>
      </c>
      <c r="E9" s="4" t="s">
        <v>423</v>
      </c>
      <c r="F9" s="4" t="s">
        <v>424</v>
      </c>
      <c r="J9" s="179" t="s">
        <v>123</v>
      </c>
      <c r="K9" s="180" t="s">
        <v>447</v>
      </c>
      <c r="L9" s="180" t="s">
        <v>449</v>
      </c>
      <c r="M9" s="180" t="s">
        <v>448</v>
      </c>
      <c r="N9" s="181" t="s">
        <v>449</v>
      </c>
    </row>
    <row r="10" spans="1:14" x14ac:dyDescent="0.35">
      <c r="D10" s="4" t="s">
        <v>412</v>
      </c>
      <c r="E10" s="65">
        <v>6.2</v>
      </c>
      <c r="F10" s="65">
        <v>200</v>
      </c>
      <c r="J10" s="188"/>
      <c r="K10" s="182" t="s">
        <v>446</v>
      </c>
      <c r="L10" s="182"/>
      <c r="M10" s="182" t="s">
        <v>446</v>
      </c>
      <c r="N10" s="186"/>
    </row>
    <row r="11" spans="1:14" x14ac:dyDescent="0.35">
      <c r="D11" s="4" t="s">
        <v>238</v>
      </c>
      <c r="E11" s="65">
        <v>0.39</v>
      </c>
      <c r="F11" s="65">
        <v>140</v>
      </c>
      <c r="J11" s="54" t="s">
        <v>98</v>
      </c>
      <c r="K11" s="5">
        <v>3300</v>
      </c>
      <c r="L11" s="8">
        <f>K11/K$27</f>
        <v>0.16426082628173219</v>
      </c>
      <c r="M11" s="5">
        <v>270000</v>
      </c>
      <c r="N11" s="20">
        <f>M11/M$27</f>
        <v>0.15715948777648428</v>
      </c>
    </row>
    <row r="12" spans="1:14" x14ac:dyDescent="0.35">
      <c r="D12" s="4" t="s">
        <v>239</v>
      </c>
      <c r="E12" s="65">
        <v>1</v>
      </c>
      <c r="F12" s="65">
        <v>116</v>
      </c>
      <c r="J12" s="54" t="s">
        <v>101</v>
      </c>
      <c r="K12">
        <v>400</v>
      </c>
      <c r="L12" s="8">
        <f t="shared" ref="L12:N27" si="0">K12/K$27</f>
        <v>1.9910403185664508E-2</v>
      </c>
      <c r="M12" s="5">
        <v>270000</v>
      </c>
      <c r="N12" s="20">
        <f t="shared" si="0"/>
        <v>0.15715948777648428</v>
      </c>
    </row>
    <row r="13" spans="1:14" x14ac:dyDescent="0.35">
      <c r="D13" s="4" t="s">
        <v>413</v>
      </c>
      <c r="E13" s="65">
        <v>2.9</v>
      </c>
      <c r="F13" s="65">
        <v>91</v>
      </c>
      <c r="J13" s="54" t="s">
        <v>432</v>
      </c>
      <c r="K13">
        <v>200</v>
      </c>
      <c r="L13" s="8">
        <f t="shared" si="0"/>
        <v>9.9552015928322541E-3</v>
      </c>
      <c r="M13" s="183" t="s">
        <v>433</v>
      </c>
      <c r="N13" s="20"/>
    </row>
    <row r="14" spans="1:14" x14ac:dyDescent="0.35">
      <c r="D14" s="4" t="s">
        <v>414</v>
      </c>
      <c r="E14" s="65">
        <v>0.95</v>
      </c>
      <c r="F14" s="65">
        <v>52</v>
      </c>
      <c r="J14" s="54" t="s">
        <v>104</v>
      </c>
      <c r="K14" s="178">
        <v>990</v>
      </c>
      <c r="L14" s="142">
        <f t="shared" si="0"/>
        <v>4.9278247884519663E-2</v>
      </c>
      <c r="M14" s="184">
        <v>280000</v>
      </c>
      <c r="N14" s="143">
        <f t="shared" si="0"/>
        <v>0.16298020954598369</v>
      </c>
    </row>
    <row r="15" spans="1:14" x14ac:dyDescent="0.35">
      <c r="D15" s="4" t="s">
        <v>234</v>
      </c>
      <c r="E15" s="65">
        <v>3</v>
      </c>
      <c r="F15" s="65">
        <v>43</v>
      </c>
      <c r="J15" s="54" t="s">
        <v>434</v>
      </c>
      <c r="K15">
        <v>360</v>
      </c>
      <c r="L15" s="8">
        <f t="shared" si="0"/>
        <v>1.7919362867098058E-2</v>
      </c>
      <c r="M15" s="183" t="s">
        <v>433</v>
      </c>
      <c r="N15" s="20"/>
    </row>
    <row r="16" spans="1:14" x14ac:dyDescent="0.35">
      <c r="D16" s="4" t="s">
        <v>415</v>
      </c>
      <c r="E16" s="65">
        <v>1.8</v>
      </c>
      <c r="F16" s="65">
        <v>22</v>
      </c>
      <c r="J16" s="54" t="s">
        <v>435</v>
      </c>
      <c r="K16" s="5">
        <v>4600</v>
      </c>
      <c r="L16" s="8">
        <f t="shared" si="0"/>
        <v>0.22896963663514186</v>
      </c>
      <c r="M16" s="185">
        <v>61000</v>
      </c>
      <c r="N16" s="20">
        <f t="shared" si="0"/>
        <v>3.550640279394645E-2</v>
      </c>
    </row>
    <row r="17" spans="4:15" x14ac:dyDescent="0.35">
      <c r="D17" s="4" t="s">
        <v>416</v>
      </c>
      <c r="E17" s="65">
        <v>0.39</v>
      </c>
      <c r="F17" s="65">
        <v>12</v>
      </c>
      <c r="J17" s="54" t="s">
        <v>436</v>
      </c>
      <c r="K17">
        <v>220</v>
      </c>
      <c r="L17" s="8">
        <f t="shared" si="0"/>
        <v>1.0950721752115481E-2</v>
      </c>
      <c r="M17" s="183" t="s">
        <v>433</v>
      </c>
      <c r="N17" s="20"/>
    </row>
    <row r="18" spans="4:15" x14ac:dyDescent="0.35">
      <c r="D18" s="4" t="s">
        <v>417</v>
      </c>
      <c r="E18" s="65">
        <v>0.39</v>
      </c>
      <c r="F18" s="65">
        <v>5</v>
      </c>
      <c r="J18" s="54" t="s">
        <v>109</v>
      </c>
      <c r="K18">
        <v>940</v>
      </c>
      <c r="L18" s="8">
        <f t="shared" si="0"/>
        <v>4.67894474863116E-2</v>
      </c>
      <c r="M18" s="185">
        <v>13000</v>
      </c>
      <c r="N18" s="20">
        <f t="shared" si="0"/>
        <v>7.5669383003492434E-3</v>
      </c>
    </row>
    <row r="19" spans="4:15" x14ac:dyDescent="0.35">
      <c r="D19" s="4" t="s">
        <v>418</v>
      </c>
      <c r="E19" s="65">
        <v>0.24</v>
      </c>
      <c r="F19" s="65">
        <v>5</v>
      </c>
      <c r="J19" s="54" t="s">
        <v>110</v>
      </c>
      <c r="K19">
        <v>480</v>
      </c>
      <c r="L19" s="8">
        <f t="shared" si="0"/>
        <v>2.3892483822797413E-2</v>
      </c>
      <c r="M19" s="185">
        <v>34000</v>
      </c>
      <c r="N19" s="20">
        <f t="shared" si="0"/>
        <v>1.9790454016298021E-2</v>
      </c>
    </row>
    <row r="20" spans="4:15" x14ac:dyDescent="0.35">
      <c r="D20" s="4" t="s">
        <v>506</v>
      </c>
      <c r="E20" s="65">
        <v>0.4</v>
      </c>
      <c r="F20" s="176" t="s">
        <v>15</v>
      </c>
      <c r="J20" s="54" t="s">
        <v>437</v>
      </c>
      <c r="K20">
        <v>110</v>
      </c>
      <c r="L20" s="8">
        <f t="shared" si="0"/>
        <v>5.4753608760577405E-3</v>
      </c>
      <c r="M20" s="185">
        <v>5000</v>
      </c>
      <c r="N20" s="20">
        <f t="shared" si="0"/>
        <v>2.9103608847497091E-3</v>
      </c>
    </row>
    <row r="21" spans="4:15" x14ac:dyDescent="0.35">
      <c r="D21" s="4" t="s">
        <v>425</v>
      </c>
      <c r="E21" s="65">
        <v>0.1</v>
      </c>
      <c r="F21" s="176" t="s">
        <v>15</v>
      </c>
      <c r="J21" s="54" t="s">
        <v>438</v>
      </c>
      <c r="K21">
        <v>360</v>
      </c>
      <c r="L21" s="8">
        <f t="shared" si="0"/>
        <v>1.7919362867098058E-2</v>
      </c>
      <c r="M21" s="183" t="s">
        <v>433</v>
      </c>
      <c r="N21" s="20"/>
    </row>
    <row r="22" spans="4:15" x14ac:dyDescent="0.35">
      <c r="D22" s="4" t="s">
        <v>203</v>
      </c>
      <c r="E22" s="65">
        <v>0.74</v>
      </c>
      <c r="F22" s="65" t="s">
        <v>15</v>
      </c>
      <c r="J22" s="54" t="s">
        <v>113</v>
      </c>
      <c r="K22">
        <v>230</v>
      </c>
      <c r="L22" s="8">
        <f t="shared" si="0"/>
        <v>1.1448481831757094E-2</v>
      </c>
      <c r="M22" s="185">
        <v>5000</v>
      </c>
      <c r="N22" s="20">
        <f t="shared" si="0"/>
        <v>2.9103608847497091E-3</v>
      </c>
    </row>
    <row r="23" spans="4:15" x14ac:dyDescent="0.35">
      <c r="D23" s="4" t="s">
        <v>220</v>
      </c>
      <c r="E23" s="134">
        <f>SUM(E10:E22)</f>
        <v>18.499999999999996</v>
      </c>
      <c r="F23" s="134">
        <f>SUM(F10:F22)</f>
        <v>686</v>
      </c>
      <c r="J23" s="54" t="s">
        <v>439</v>
      </c>
      <c r="K23" s="5">
        <v>7200</v>
      </c>
      <c r="L23" s="8">
        <f t="shared" si="0"/>
        <v>0.3583872573419612</v>
      </c>
      <c r="M23" s="185">
        <v>640000</v>
      </c>
      <c r="N23" s="20">
        <f t="shared" si="0"/>
        <v>0.37252619324796277</v>
      </c>
    </row>
    <row r="24" spans="4:15" x14ac:dyDescent="0.35">
      <c r="J24" s="54" t="s">
        <v>440</v>
      </c>
      <c r="K24">
        <v>400</v>
      </c>
      <c r="L24" s="8">
        <f t="shared" si="0"/>
        <v>1.9910403185664508E-2</v>
      </c>
      <c r="M24" s="185">
        <v>140000</v>
      </c>
      <c r="N24" s="20">
        <f t="shared" si="0"/>
        <v>8.1490104772991845E-2</v>
      </c>
    </row>
    <row r="25" spans="4:15" x14ac:dyDescent="0.35">
      <c r="J25" s="54" t="s">
        <v>441</v>
      </c>
      <c r="K25">
        <v>150</v>
      </c>
      <c r="L25" s="8">
        <f t="shared" si="0"/>
        <v>7.466401194624191E-3</v>
      </c>
      <c r="M25" s="183" t="s">
        <v>433</v>
      </c>
      <c r="N25" s="20"/>
    </row>
    <row r="26" spans="4:15" x14ac:dyDescent="0.35">
      <c r="J26" s="54" t="s">
        <v>442</v>
      </c>
      <c r="K26">
        <v>150</v>
      </c>
      <c r="L26" s="8">
        <f t="shared" si="0"/>
        <v>7.466401194624191E-3</v>
      </c>
      <c r="M26" s="183" t="s">
        <v>443</v>
      </c>
      <c r="N26" s="20"/>
      <c r="O26" s="5"/>
    </row>
    <row r="27" spans="4:15" ht="15" thickBot="1" x14ac:dyDescent="0.4">
      <c r="D27" t="s">
        <v>420</v>
      </c>
      <c r="J27" s="64" t="s">
        <v>444</v>
      </c>
      <c r="K27" s="177">
        <f>SUM(K11:K26)</f>
        <v>20090</v>
      </c>
      <c r="L27" s="153">
        <f t="shared" si="0"/>
        <v>1</v>
      </c>
      <c r="M27" s="177">
        <f>SUM(M11:M26)</f>
        <v>1718000</v>
      </c>
      <c r="N27" s="187">
        <f t="shared" si="0"/>
        <v>1</v>
      </c>
    </row>
    <row r="28" spans="4:15" ht="15" thickTop="1" x14ac:dyDescent="0.35">
      <c r="D28" s="9" t="s">
        <v>419</v>
      </c>
      <c r="E28" s="9"/>
      <c r="J28" s="4" t="s">
        <v>496</v>
      </c>
    </row>
    <row r="29" spans="4:15" x14ac:dyDescent="0.35">
      <c r="D29" t="s">
        <v>422</v>
      </c>
    </row>
    <row r="30" spans="4:15" x14ac:dyDescent="0.35">
      <c r="D30" s="9" t="s">
        <v>421</v>
      </c>
      <c r="J30" s="4" t="s">
        <v>430</v>
      </c>
    </row>
    <row r="31" spans="4:15" x14ac:dyDescent="0.35">
      <c r="D31" t="s">
        <v>428</v>
      </c>
      <c r="J31" s="9" t="s">
        <v>431</v>
      </c>
    </row>
    <row r="32" spans="4:15" x14ac:dyDescent="0.35">
      <c r="D32" s="9" t="s">
        <v>421</v>
      </c>
    </row>
    <row r="33" spans="4:4" x14ac:dyDescent="0.35">
      <c r="D33" t="s">
        <v>429</v>
      </c>
    </row>
    <row r="34" spans="4:4" x14ac:dyDescent="0.35">
      <c r="D34" s="9" t="s">
        <v>427</v>
      </c>
    </row>
  </sheetData>
  <hyperlinks>
    <hyperlink ref="D28" r:id="rId1" xr:uid="{BB59B2BB-6ABA-4F44-89F8-B0F9FDF61599}"/>
    <hyperlink ref="D30" r:id="rId2" xr:uid="{C52B3654-50A8-4E35-89D2-5DBFDC6C2CE5}"/>
    <hyperlink ref="D32" r:id="rId3" xr:uid="{7257DDA6-D442-4FA8-A040-D858ADB2BDA4}"/>
    <hyperlink ref="D34" r:id="rId4" xr:uid="{6F34EEDF-C4A6-4AF6-BEF5-6A2823D7590C}"/>
    <hyperlink ref="J31" r:id="rId5" xr:uid="{A56BC07B-7491-4682-B3B0-8CD09B2171A8}"/>
  </hyperlinks>
  <pageMargins left="0.7" right="0.7" top="0.75" bottom="0.75" header="0.3" footer="0.3"/>
  <pageSetup orientation="portrait" verticalDpi="0" r:id="rId6"/>
  <ignoredErrors>
    <ignoredError sqref="L27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0C6D9-8219-49A7-9C61-0CAF07702D49}">
  <dimension ref="A1:AB39"/>
  <sheetViews>
    <sheetView tabSelected="1" workbookViewId="0">
      <selection activeCell="O15" sqref="O15"/>
    </sheetView>
  </sheetViews>
  <sheetFormatPr defaultRowHeight="14.5" x14ac:dyDescent="0.35"/>
  <cols>
    <col min="3" max="3" width="12.81640625" customWidth="1"/>
    <col min="4" max="4" width="7" customWidth="1"/>
    <col min="5" max="5" width="7.81640625" customWidth="1"/>
    <col min="6" max="6" width="6.90625" customWidth="1"/>
    <col min="7" max="7" width="7.54296875" customWidth="1"/>
    <col min="8" max="8" width="10.90625" customWidth="1"/>
    <col min="9" max="9" width="6.7265625" customWidth="1"/>
    <col min="10" max="10" width="9.08984375" customWidth="1"/>
    <col min="11" max="11" width="6.81640625" customWidth="1"/>
    <col min="12" max="12" width="7.54296875" customWidth="1"/>
    <col min="13" max="13" width="7" customWidth="1"/>
    <col min="14" max="14" width="6.81640625" customWidth="1"/>
    <col min="15" max="15" width="10.54296875" customWidth="1"/>
    <col min="16" max="16" width="7.08984375" customWidth="1"/>
    <col min="20" max="20" width="13.453125" customWidth="1"/>
    <col min="21" max="21" width="10.54296875" customWidth="1"/>
    <col min="22" max="22" width="11.90625" customWidth="1"/>
    <col min="23" max="23" width="9.54296875" customWidth="1"/>
    <col min="24" max="24" width="9.81640625" bestFit="1" customWidth="1"/>
    <col min="25" max="25" width="8.54296875" customWidth="1"/>
    <col min="26" max="26" width="11.36328125" customWidth="1"/>
    <col min="28" max="28" width="10.26953125" customWidth="1"/>
  </cols>
  <sheetData>
    <row r="1" spans="1:28" ht="28.5" x14ac:dyDescent="0.65">
      <c r="A1" s="2" t="str">
        <f>RawMaterialsBEV!A1</f>
        <v>Solutions to cobalt supply chain problems for transitioning to a BEVs only future #21</v>
      </c>
    </row>
    <row r="2" spans="1:28" x14ac:dyDescent="0.35">
      <c r="AA2" t="s">
        <v>409</v>
      </c>
    </row>
    <row r="3" spans="1:28" ht="15.5" x14ac:dyDescent="0.35">
      <c r="A3" s="1" t="str">
        <f>RawMaterialsBEV!A3</f>
        <v>Proprietary. © H. Mathiesen. This material can be used by others free of charge provided that the author H. Mathiesen is attributed and a clickable link is made visible to the location of used material on www.hmexperience.dk</v>
      </c>
      <c r="Z3" s="159" t="s">
        <v>382</v>
      </c>
      <c r="AA3">
        <v>2</v>
      </c>
    </row>
    <row r="4" spans="1:28" ht="15.5" x14ac:dyDescent="0.35">
      <c r="A4" s="1" t="str">
        <f>RawMaterialsBEV!A4</f>
        <v>Sources to all information used in this spreadsheet can also be found in associated PowerPoint presentation located also at www.hmexperience.dk</v>
      </c>
      <c r="Z4" s="159" t="s">
        <v>384</v>
      </c>
      <c r="AA4">
        <v>0.2</v>
      </c>
    </row>
    <row r="5" spans="1:28" x14ac:dyDescent="0.35">
      <c r="Z5" s="159" t="s">
        <v>380</v>
      </c>
      <c r="AA5">
        <v>2</v>
      </c>
    </row>
    <row r="6" spans="1:28" x14ac:dyDescent="0.35">
      <c r="Z6" s="159" t="s">
        <v>383</v>
      </c>
      <c r="AA6">
        <v>2</v>
      </c>
    </row>
    <row r="7" spans="1:28" x14ac:dyDescent="0.35">
      <c r="Z7" s="159" t="s">
        <v>404</v>
      </c>
      <c r="AA7">
        <v>1</v>
      </c>
    </row>
    <row r="8" spans="1:28" x14ac:dyDescent="0.35">
      <c r="J8">
        <v>1000</v>
      </c>
      <c r="Y8" s="5">
        <f>RawMaterial!I28</f>
        <v>309120000</v>
      </c>
    </row>
    <row r="10" spans="1:28" ht="20" thickBot="1" x14ac:dyDescent="0.5">
      <c r="C10" s="156" t="s">
        <v>389</v>
      </c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T10" s="156" t="s">
        <v>509</v>
      </c>
      <c r="U10" s="121"/>
      <c r="V10" s="121"/>
      <c r="W10" s="121"/>
      <c r="X10" s="121"/>
      <c r="Y10" s="121"/>
      <c r="Z10" s="121"/>
      <c r="AA10" s="121"/>
      <c r="AB10" s="121"/>
    </row>
    <row r="11" spans="1:28" ht="15" thickTop="1" x14ac:dyDescent="0.35">
      <c r="C11" s="149" t="s">
        <v>396</v>
      </c>
      <c r="D11" s="42" t="s">
        <v>380</v>
      </c>
      <c r="E11" s="42" t="s">
        <v>381</v>
      </c>
      <c r="F11" s="42" t="s">
        <v>382</v>
      </c>
      <c r="G11" s="42" t="s">
        <v>383</v>
      </c>
      <c r="H11" s="42" t="s">
        <v>384</v>
      </c>
      <c r="I11" s="42" t="s">
        <v>403</v>
      </c>
      <c r="J11" s="42" t="s">
        <v>388</v>
      </c>
      <c r="K11" s="150" t="s">
        <v>380</v>
      </c>
      <c r="L11" s="150" t="s">
        <v>381</v>
      </c>
      <c r="M11" s="150" t="s">
        <v>382</v>
      </c>
      <c r="N11" s="150" t="s">
        <v>383</v>
      </c>
      <c r="O11" s="150" t="s">
        <v>384</v>
      </c>
      <c r="P11" s="151" t="s">
        <v>403</v>
      </c>
      <c r="T11" s="149" t="s">
        <v>397</v>
      </c>
      <c r="U11" s="42" t="s">
        <v>508</v>
      </c>
      <c r="V11" s="42" t="s">
        <v>399</v>
      </c>
      <c r="W11" s="42" t="s">
        <v>400</v>
      </c>
      <c r="X11" s="42" t="s">
        <v>495</v>
      </c>
      <c r="Y11" s="42" t="s">
        <v>405</v>
      </c>
      <c r="Z11" s="42" t="s">
        <v>407</v>
      </c>
      <c r="AA11" s="42" t="s">
        <v>408</v>
      </c>
      <c r="AB11" s="160" t="s">
        <v>410</v>
      </c>
    </row>
    <row r="12" spans="1:28" x14ac:dyDescent="0.35">
      <c r="C12" s="54" t="s">
        <v>385</v>
      </c>
      <c r="D12" s="32">
        <f>CostOfRawMaterialsBEV!D12</f>
        <v>25.42</v>
      </c>
      <c r="E12" s="32">
        <f>CostOfRawMaterialsBEV!D14</f>
        <v>148.47740884036463</v>
      </c>
      <c r="F12" s="32">
        <f>CostOfRawMaterialsBEV!D20</f>
        <v>34.18</v>
      </c>
      <c r="G12" s="32">
        <f>CostOfRawMaterialsBEV!D16</f>
        <v>9.02</v>
      </c>
      <c r="H12" s="32">
        <f>CostOfRawMaterialsBEV!D17</f>
        <v>4.7297574999999998</v>
      </c>
      <c r="I12" s="32">
        <f>CostOfRawMaterialsBEV!D23</f>
        <v>0.59449413500000003</v>
      </c>
      <c r="J12" s="147" t="s">
        <v>15</v>
      </c>
      <c r="K12" s="157" t="s">
        <v>390</v>
      </c>
      <c r="L12" s="157" t="s">
        <v>390</v>
      </c>
      <c r="M12" s="157" t="s">
        <v>390</v>
      </c>
      <c r="N12" s="157" t="s">
        <v>390</v>
      </c>
      <c r="O12" s="157" t="s">
        <v>390</v>
      </c>
      <c r="P12" s="158" t="s">
        <v>390</v>
      </c>
      <c r="T12" s="161"/>
      <c r="U12" s="110" t="s">
        <v>507</v>
      </c>
      <c r="V12" s="110"/>
      <c r="W12" s="110" t="s">
        <v>401</v>
      </c>
      <c r="X12" s="110" t="s">
        <v>402</v>
      </c>
      <c r="Y12" s="110" t="s">
        <v>162</v>
      </c>
      <c r="Z12" s="110" t="s">
        <v>406</v>
      </c>
      <c r="AA12" s="110" t="s">
        <v>162</v>
      </c>
      <c r="AB12" s="162" t="s">
        <v>406</v>
      </c>
    </row>
    <row r="13" spans="1:28" x14ac:dyDescent="0.35">
      <c r="C13" s="54" t="s">
        <v>392</v>
      </c>
      <c r="D13" s="8">
        <v>0.2</v>
      </c>
      <c r="E13" s="8">
        <v>2.7E-2</v>
      </c>
      <c r="F13" s="8">
        <v>0.02</v>
      </c>
      <c r="G13" s="8">
        <f>RawMaterialsBEV!B48</f>
        <v>0.08</v>
      </c>
      <c r="H13" s="8">
        <f>RM_ByBatChem!P22</f>
        <v>0</v>
      </c>
      <c r="I13" s="8">
        <v>0</v>
      </c>
      <c r="J13" s="5">
        <f>SUM(K13:P13)</f>
        <v>10498.090038689847</v>
      </c>
      <c r="K13" s="5">
        <f t="shared" ref="K13:P16" si="0">$J$8*D13*D$12</f>
        <v>5084</v>
      </c>
      <c r="L13" s="5">
        <f t="shared" si="0"/>
        <v>4008.8900386898449</v>
      </c>
      <c r="M13" s="5">
        <f t="shared" si="0"/>
        <v>683.6</v>
      </c>
      <c r="N13" s="5">
        <f t="shared" si="0"/>
        <v>721.59999999999991</v>
      </c>
      <c r="O13" s="5">
        <f t="shared" si="0"/>
        <v>0</v>
      </c>
      <c r="P13" s="85">
        <f t="shared" si="0"/>
        <v>0</v>
      </c>
      <c r="T13" s="163" t="s">
        <v>382</v>
      </c>
      <c r="U13" s="8">
        <f>F16</f>
        <v>2E-3</v>
      </c>
      <c r="V13" s="5">
        <f>F16*V$19</f>
        <v>618240</v>
      </c>
      <c r="W13" s="65">
        <f>RawMaterialsBEV!C18</f>
        <v>6.1824000000000003</v>
      </c>
      <c r="X13" s="32">
        <f>(V13*1000/W13)/1000000</f>
        <v>100</v>
      </c>
      <c r="Y13" s="32">
        <f>F12</f>
        <v>34.18</v>
      </c>
      <c r="Z13" s="32">
        <f>V13*1000*Y13/1000000000</f>
        <v>21.1314432</v>
      </c>
      <c r="AA13" s="74">
        <f>Y13*AA3</f>
        <v>68.36</v>
      </c>
      <c r="AB13" s="164">
        <f>V13*1000*AA13/1000000000</f>
        <v>42.262886399999999</v>
      </c>
    </row>
    <row r="14" spans="1:28" x14ac:dyDescent="0.35">
      <c r="C14" s="54" t="s">
        <v>391</v>
      </c>
      <c r="D14" s="8">
        <v>1.2E-2</v>
      </c>
      <c r="E14" s="8">
        <v>7.0000000000000001E-3</v>
      </c>
      <c r="F14" s="8">
        <v>2E-3</v>
      </c>
      <c r="G14" s="8">
        <v>6.0000000000000001E-3</v>
      </c>
      <c r="H14" s="8">
        <v>0.3</v>
      </c>
      <c r="I14" s="8">
        <v>0.5</v>
      </c>
      <c r="J14" s="152">
        <f t="shared" ref="J14:J16" si="1">SUM(K14:P14)</f>
        <v>3183.0361793825518</v>
      </c>
      <c r="K14" s="5">
        <f t="shared" si="0"/>
        <v>305.04000000000002</v>
      </c>
      <c r="L14" s="5">
        <f t="shared" si="0"/>
        <v>1039.3418618825524</v>
      </c>
      <c r="M14" s="5">
        <f t="shared" si="0"/>
        <v>68.36</v>
      </c>
      <c r="N14" s="5">
        <f t="shared" si="0"/>
        <v>54.12</v>
      </c>
      <c r="O14" s="5">
        <f t="shared" si="0"/>
        <v>1418.92725</v>
      </c>
      <c r="P14" s="85">
        <f t="shared" si="0"/>
        <v>297.24706750000001</v>
      </c>
      <c r="T14" s="163" t="s">
        <v>384</v>
      </c>
      <c r="U14" s="8">
        <f>H16</f>
        <v>0.27</v>
      </c>
      <c r="V14" s="5">
        <f>H16*V$19</f>
        <v>83462400</v>
      </c>
      <c r="W14" s="65">
        <f>RawMaterialsBEV!C15</f>
        <v>10</v>
      </c>
      <c r="X14" s="32">
        <f>(V14*1000/W14)/1000000</f>
        <v>8346.24</v>
      </c>
      <c r="Y14" s="32">
        <f>H12</f>
        <v>4.7297574999999998</v>
      </c>
      <c r="Z14" s="32">
        <f>V14*1000*Y14/1000000000</f>
        <v>394.75691236799997</v>
      </c>
      <c r="AA14" s="74">
        <f t="shared" ref="AA14:AA17" si="2">Y14*AA4</f>
        <v>0.94595150000000006</v>
      </c>
      <c r="AB14" s="164">
        <f>V14*1000*AA14/1000000000</f>
        <v>78.951382473600006</v>
      </c>
    </row>
    <row r="15" spans="1:28" x14ac:dyDescent="0.35">
      <c r="C15" s="54" t="s">
        <v>386</v>
      </c>
      <c r="D15" s="8">
        <v>4.0000000000000001E-3</v>
      </c>
      <c r="E15" s="8">
        <v>0</v>
      </c>
      <c r="F15" s="8">
        <v>6.7000000000000002E-3</v>
      </c>
      <c r="G15" s="8">
        <v>1E-3</v>
      </c>
      <c r="H15" s="8">
        <v>0.22</v>
      </c>
      <c r="I15" s="8">
        <v>0.17</v>
      </c>
      <c r="J15" s="5">
        <f t="shared" si="1"/>
        <v>1481.3166529499999</v>
      </c>
      <c r="K15" s="5">
        <f t="shared" si="0"/>
        <v>101.68</v>
      </c>
      <c r="L15" s="5">
        <f t="shared" si="0"/>
        <v>0</v>
      </c>
      <c r="M15" s="5">
        <f t="shared" si="0"/>
        <v>229.006</v>
      </c>
      <c r="N15" s="5">
        <f t="shared" si="0"/>
        <v>9.02</v>
      </c>
      <c r="O15" s="5">
        <f t="shared" si="0"/>
        <v>1040.54665</v>
      </c>
      <c r="P15" s="85">
        <f t="shared" si="0"/>
        <v>101.06400295</v>
      </c>
      <c r="T15" s="163" t="s">
        <v>380</v>
      </c>
      <c r="U15" s="8">
        <f>D16</f>
        <v>1.2999999999999999E-2</v>
      </c>
      <c r="V15" s="5">
        <f>V19*D16</f>
        <v>4018560</v>
      </c>
      <c r="W15" s="65">
        <f>RawMaterialsBEV!C11</f>
        <v>61.824000000000005</v>
      </c>
      <c r="X15" s="32">
        <f>(V15*1000/W15)/1000000</f>
        <v>64.999999999999986</v>
      </c>
      <c r="Y15" s="32">
        <f>D12</f>
        <v>25.42</v>
      </c>
      <c r="Z15" s="32">
        <f>V15*1000*Y15/1000000000</f>
        <v>102.1517952</v>
      </c>
      <c r="AA15" s="74">
        <f t="shared" si="2"/>
        <v>50.84</v>
      </c>
      <c r="AB15" s="164">
        <f>V15*1000*AA15/1000000000</f>
        <v>204.30359039999999</v>
      </c>
    </row>
    <row r="16" spans="1:28" ht="15" thickBot="1" x14ac:dyDescent="0.4">
      <c r="C16" s="64" t="s">
        <v>387</v>
      </c>
      <c r="D16" s="153">
        <v>1.2999999999999999E-2</v>
      </c>
      <c r="E16" s="153">
        <v>0</v>
      </c>
      <c r="F16" s="153">
        <v>2E-3</v>
      </c>
      <c r="G16" s="153">
        <v>1.0999999999999999E-2</v>
      </c>
      <c r="H16" s="153">
        <v>0.27</v>
      </c>
      <c r="I16" s="153">
        <v>0.06</v>
      </c>
      <c r="J16" s="154">
        <f t="shared" si="1"/>
        <v>1810.7441730999999</v>
      </c>
      <c r="K16" s="154">
        <f t="shared" si="0"/>
        <v>330.46000000000004</v>
      </c>
      <c r="L16" s="154">
        <f t="shared" si="0"/>
        <v>0</v>
      </c>
      <c r="M16" s="154">
        <f t="shared" si="0"/>
        <v>68.36</v>
      </c>
      <c r="N16" s="154">
        <f t="shared" si="0"/>
        <v>99.22</v>
      </c>
      <c r="O16" s="154">
        <f t="shared" si="0"/>
        <v>1277.034525</v>
      </c>
      <c r="P16" s="155">
        <f t="shared" si="0"/>
        <v>35.669648100000003</v>
      </c>
      <c r="T16" s="163" t="s">
        <v>383</v>
      </c>
      <c r="U16" s="8">
        <f>G16</f>
        <v>1.0999999999999999E-2</v>
      </c>
      <c r="V16" s="5">
        <f>V19*G16</f>
        <v>3400320</v>
      </c>
      <c r="W16" s="65">
        <f>RawMaterialsBEV!C14</f>
        <v>91</v>
      </c>
      <c r="X16" s="32">
        <f>(V16*1000/W16)/1000000</f>
        <v>37.36615384615385</v>
      </c>
      <c r="Y16" s="32">
        <f>G12</f>
        <v>9.02</v>
      </c>
      <c r="Z16" s="32">
        <f>V16*1000*Y16/1000000000</f>
        <v>30.670886400000001</v>
      </c>
      <c r="AA16" s="74">
        <f t="shared" si="2"/>
        <v>18.04</v>
      </c>
      <c r="AB16" s="164">
        <f>V16*1000*AA16/1000000000</f>
        <v>61.341772800000001</v>
      </c>
    </row>
    <row r="17" spans="3:28" ht="15" thickTop="1" x14ac:dyDescent="0.35">
      <c r="C17" s="124" t="s">
        <v>496</v>
      </c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T17" s="163" t="s">
        <v>404</v>
      </c>
      <c r="U17" s="8">
        <f>I16</f>
        <v>0.06</v>
      </c>
      <c r="V17" s="5">
        <f>V19*I16</f>
        <v>18547200</v>
      </c>
      <c r="W17" s="32">
        <f>CostOfRawMaterialsBEV!C23</f>
        <v>900</v>
      </c>
      <c r="X17" s="32">
        <f>(V17*1000/W17)/1000000</f>
        <v>20.608000000000001</v>
      </c>
      <c r="Y17" s="32">
        <f>I12</f>
        <v>0.59449413500000003</v>
      </c>
      <c r="Z17" s="32">
        <f>V17*1000*Y17/1000000000</f>
        <v>11.026201620672001</v>
      </c>
      <c r="AA17" s="74">
        <f t="shared" si="2"/>
        <v>0.59449413500000003</v>
      </c>
      <c r="AB17" s="164">
        <f>V17*1000*AA17/1000000000</f>
        <v>11.026201620672001</v>
      </c>
    </row>
    <row r="18" spans="3:28" x14ac:dyDescent="0.35">
      <c r="C18" t="s">
        <v>394</v>
      </c>
      <c r="T18" s="163" t="s">
        <v>398</v>
      </c>
      <c r="U18" s="8">
        <f>U19-SUM(U13:U17)</f>
        <v>0.64399999999999991</v>
      </c>
      <c r="V18" s="5">
        <f>V19-SUM(V13:V17)</f>
        <v>199073280</v>
      </c>
      <c r="W18" s="65" t="s">
        <v>15</v>
      </c>
      <c r="X18" t="s">
        <v>15</v>
      </c>
      <c r="Z18" s="32"/>
      <c r="AA18" s="90"/>
      <c r="AB18" s="165"/>
    </row>
    <row r="19" spans="3:28" ht="15" thickBot="1" x14ac:dyDescent="0.4">
      <c r="T19" s="163" t="s">
        <v>220</v>
      </c>
      <c r="U19" s="198">
        <v>1</v>
      </c>
      <c r="V19" s="168">
        <f>Y8</f>
        <v>309120000</v>
      </c>
      <c r="W19" s="65" t="s">
        <v>15</v>
      </c>
      <c r="X19" t="s">
        <v>15</v>
      </c>
      <c r="Z19" s="169">
        <f>SUM(Z13:Z17)</f>
        <v>559.73723878867202</v>
      </c>
      <c r="AA19" s="90"/>
      <c r="AB19" s="170">
        <f>SUM(AB13:AB17)</f>
        <v>397.88583369427198</v>
      </c>
    </row>
    <row r="20" spans="3:28" ht="15" thickBot="1" x14ac:dyDescent="0.4">
      <c r="T20" s="171" t="s">
        <v>411</v>
      </c>
      <c r="U20" s="172"/>
      <c r="V20" s="172"/>
      <c r="W20" s="172"/>
      <c r="X20" s="172"/>
      <c r="Y20" s="172"/>
      <c r="Z20" s="173">
        <f>Z19*1000000000/$V19</f>
        <v>1810.7441730999999</v>
      </c>
      <c r="AA20" s="174"/>
      <c r="AB20" s="175">
        <f>AB19*1000000000/$V19</f>
        <v>1287.1565530999999</v>
      </c>
    </row>
    <row r="21" spans="3:28" ht="15" thickTop="1" x14ac:dyDescent="0.35">
      <c r="T21" s="124" t="s">
        <v>496</v>
      </c>
      <c r="U21" s="121"/>
      <c r="V21" s="121"/>
      <c r="W21" s="121"/>
      <c r="X21" s="121"/>
      <c r="Y21" s="121"/>
      <c r="Z21" s="121"/>
      <c r="AA21" s="121"/>
      <c r="AB21" s="121"/>
    </row>
    <row r="22" spans="3:28" x14ac:dyDescent="0.35">
      <c r="C22" s="6" t="s">
        <v>13</v>
      </c>
      <c r="D22" s="7"/>
      <c r="E22" s="7"/>
    </row>
    <row r="24" spans="3:28" x14ac:dyDescent="0.35">
      <c r="C24" s="110" t="s">
        <v>87</v>
      </c>
      <c r="D24" s="110" t="s">
        <v>380</v>
      </c>
      <c r="E24" s="110" t="s">
        <v>381</v>
      </c>
      <c r="F24" s="110" t="s">
        <v>382</v>
      </c>
      <c r="G24" s="110" t="s">
        <v>383</v>
      </c>
      <c r="H24" s="110" t="s">
        <v>384</v>
      </c>
      <c r="I24" s="110"/>
      <c r="J24" s="110" t="s">
        <v>388</v>
      </c>
    </row>
    <row r="25" spans="3:28" x14ac:dyDescent="0.35">
      <c r="C25" s="76" t="s">
        <v>385</v>
      </c>
      <c r="D25" s="32" t="s">
        <v>393</v>
      </c>
      <c r="E25" s="32" t="s">
        <v>393</v>
      </c>
      <c r="F25" s="32" t="s">
        <v>393</v>
      </c>
      <c r="G25" s="32" t="s">
        <v>393</v>
      </c>
      <c r="H25" s="32" t="s">
        <v>393</v>
      </c>
      <c r="I25" s="32"/>
      <c r="J25" s="147"/>
    </row>
    <row r="26" spans="3:28" x14ac:dyDescent="0.35">
      <c r="C26" s="76" t="s">
        <v>392</v>
      </c>
      <c r="D26" s="148" t="s">
        <v>222</v>
      </c>
      <c r="E26" s="8" t="s">
        <v>266</v>
      </c>
      <c r="F26" s="8"/>
      <c r="G26" s="148" t="s">
        <v>59</v>
      </c>
      <c r="H26" s="8" t="s">
        <v>393</v>
      </c>
      <c r="I26" s="8"/>
      <c r="J26" s="5"/>
    </row>
    <row r="27" spans="3:28" x14ac:dyDescent="0.35">
      <c r="C27" s="76" t="s">
        <v>391</v>
      </c>
      <c r="D27" s="148" t="s">
        <v>222</v>
      </c>
      <c r="E27" s="8" t="s">
        <v>266</v>
      </c>
      <c r="F27" s="8"/>
      <c r="G27" s="9" t="s">
        <v>140</v>
      </c>
      <c r="H27" s="148" t="s">
        <v>148</v>
      </c>
      <c r="I27" s="148"/>
      <c r="J27" s="5" t="s">
        <v>15</v>
      </c>
    </row>
    <row r="28" spans="3:28" x14ac:dyDescent="0.35">
      <c r="C28" s="76" t="s">
        <v>386</v>
      </c>
      <c r="D28" s="148" t="s">
        <v>395</v>
      </c>
      <c r="E28" s="148" t="s">
        <v>395</v>
      </c>
      <c r="F28" s="148" t="s">
        <v>395</v>
      </c>
      <c r="G28" s="148" t="s">
        <v>395</v>
      </c>
      <c r="H28" s="148" t="s">
        <v>395</v>
      </c>
      <c r="I28" s="148"/>
      <c r="J28" s="5"/>
      <c r="K28" t="s">
        <v>15</v>
      </c>
    </row>
    <row r="29" spans="3:28" x14ac:dyDescent="0.35">
      <c r="C29" s="76" t="s">
        <v>387</v>
      </c>
      <c r="D29" s="148" t="s">
        <v>395</v>
      </c>
      <c r="E29" s="148" t="s">
        <v>395</v>
      </c>
      <c r="F29" s="148" t="s">
        <v>395</v>
      </c>
      <c r="G29" s="148" t="s">
        <v>395</v>
      </c>
      <c r="H29" s="148" t="s">
        <v>395</v>
      </c>
      <c r="I29" s="148"/>
      <c r="J29" s="5"/>
      <c r="K29" t="s">
        <v>15</v>
      </c>
    </row>
    <row r="32" spans="3:28" ht="15.5" customHeight="1" x14ac:dyDescent="0.45">
      <c r="C32" s="166"/>
    </row>
    <row r="33" spans="3:16" x14ac:dyDescent="0.35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3:16" x14ac:dyDescent="0.35">
      <c r="C34" s="4"/>
      <c r="D34" s="32"/>
      <c r="E34" s="32"/>
      <c r="F34" s="32"/>
      <c r="G34" s="32"/>
      <c r="H34" s="32"/>
      <c r="I34" s="32"/>
      <c r="J34" s="147"/>
      <c r="K34" s="167"/>
      <c r="L34" s="167"/>
      <c r="M34" s="167"/>
      <c r="N34" s="167"/>
      <c r="O34" s="167"/>
      <c r="P34" s="167"/>
    </row>
    <row r="35" spans="3:16" x14ac:dyDescent="0.35">
      <c r="C35" s="4"/>
      <c r="D35" s="8"/>
      <c r="E35" s="8"/>
      <c r="F35" s="8"/>
      <c r="G35" s="8"/>
      <c r="H35" s="8"/>
      <c r="I35" s="8"/>
      <c r="J35" s="5"/>
      <c r="K35" s="5"/>
      <c r="L35" s="5"/>
      <c r="M35" s="5"/>
      <c r="N35" s="5"/>
      <c r="O35" s="5"/>
      <c r="P35" s="5"/>
    </row>
    <row r="36" spans="3:16" x14ac:dyDescent="0.35">
      <c r="C36" s="4"/>
      <c r="D36" s="8"/>
      <c r="E36" s="8"/>
      <c r="F36" s="8"/>
      <c r="G36" s="8"/>
      <c r="H36" s="8"/>
      <c r="I36" s="8"/>
      <c r="J36" s="152"/>
      <c r="K36" s="5"/>
      <c r="L36" s="5"/>
      <c r="M36" s="5"/>
      <c r="N36" s="5"/>
      <c r="O36" s="5"/>
      <c r="P36" s="5"/>
    </row>
    <row r="37" spans="3:16" x14ac:dyDescent="0.35">
      <c r="C37" s="4"/>
      <c r="D37" s="8"/>
      <c r="E37" s="8"/>
      <c r="F37" s="8"/>
      <c r="G37" s="8"/>
      <c r="H37" s="8"/>
      <c r="I37" s="8"/>
      <c r="J37" s="5"/>
      <c r="K37" s="5"/>
      <c r="L37" s="5"/>
      <c r="M37" s="5"/>
      <c r="N37" s="5"/>
      <c r="O37" s="5"/>
      <c r="P37" s="5"/>
    </row>
    <row r="38" spans="3:16" x14ac:dyDescent="0.35">
      <c r="C38" s="4"/>
      <c r="D38" s="8"/>
      <c r="E38" s="8"/>
      <c r="F38" s="8"/>
      <c r="G38" s="8"/>
      <c r="H38" s="8"/>
      <c r="I38" s="8"/>
      <c r="J38" s="5"/>
      <c r="K38" s="5"/>
      <c r="L38" s="5"/>
      <c r="M38" s="5"/>
      <c r="N38" s="5"/>
      <c r="O38" s="5"/>
      <c r="P38" s="5"/>
    </row>
    <row r="39" spans="3:16" x14ac:dyDescent="0.35">
      <c r="C39" s="4"/>
    </row>
  </sheetData>
  <hyperlinks>
    <hyperlink ref="H27" r:id="rId1" xr:uid="{FD8DFDBD-09CD-4008-9A48-5764B9AD97C5}"/>
    <hyperlink ref="D26" r:id="rId2" xr:uid="{FF42C6A1-FFA1-4C82-8E66-DE99FE50E647}"/>
    <hyperlink ref="G26" r:id="rId3" location=":~:text=Average%20ICEs%20contain%2018%2D49%20pounds%20of%20copper" xr:uid="{218AD2DA-C863-4636-A354-7E067740DD4C}"/>
    <hyperlink ref="D27" r:id="rId4" xr:uid="{7DB3BF1B-D479-48DF-8D26-3BF0875E0F1A}"/>
    <hyperlink ref="G27" r:id="rId5" location="Concentration_(beneficiation)" xr:uid="{F215B07B-17FD-49EA-9E31-24186610E6F1}"/>
    <hyperlink ref="D28" r:id="rId6" xr:uid="{87AF6313-A720-4547-A6EE-8D49BDF88633}"/>
    <hyperlink ref="E28:H28" r:id="rId7" display="https://worldoceanreview.com/en/wor-3/mineral-resources/cobalt-crusts/?ssp=1&amp;darkschemeovr=1&amp;setlang=en-XL&amp;safesearch=moderate" xr:uid="{C3851395-CDDA-4B33-B761-48CBBA168F39}"/>
    <hyperlink ref="D29" r:id="rId8" xr:uid="{FD777EF0-6F80-4B53-93DF-1F142E95E664}"/>
    <hyperlink ref="E29:H29" r:id="rId9" display="https://worldoceanreview.com/en/wor-3/mineral-resources/cobalt-crusts/?ssp=1&amp;darkschemeovr=1&amp;setlang=en-XL&amp;safesearch=moderate" xr:uid="{515840AC-E9B8-46ED-99B2-DD2C1CDF05A8}"/>
  </hyperlinks>
  <pageMargins left="0.7" right="0.7" top="0.75" bottom="0.75" header="0.3" footer="0.3"/>
  <pageSetup orientation="portrait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5"/>
  <sheetViews>
    <sheetView workbookViewId="0">
      <selection activeCell="J5" sqref="J5"/>
    </sheetView>
  </sheetViews>
  <sheetFormatPr defaultRowHeight="14.5" x14ac:dyDescent="0.35"/>
  <cols>
    <col min="2" max="2" width="28.54296875" customWidth="1"/>
    <col min="3" max="3" width="15.7265625" customWidth="1"/>
    <col min="4" max="4" width="14.7265625" customWidth="1"/>
    <col min="5" max="5" width="11.81640625" customWidth="1"/>
    <col min="6" max="6" width="16.453125" customWidth="1"/>
    <col min="7" max="7" width="5.81640625" customWidth="1"/>
    <col min="8" max="8" width="16.26953125" customWidth="1"/>
    <col min="9" max="9" width="11.81640625" customWidth="1"/>
    <col min="10" max="10" width="28.6328125" customWidth="1"/>
    <col min="11" max="11" width="16" customWidth="1"/>
    <col min="12" max="12" width="11.08984375" customWidth="1"/>
    <col min="13" max="13" width="16.7265625" customWidth="1"/>
    <col min="14" max="14" width="5.54296875" customWidth="1"/>
    <col min="15" max="15" width="16.08984375" customWidth="1"/>
  </cols>
  <sheetData>
    <row r="1" spans="1:15" ht="34" customHeight="1" x14ac:dyDescent="0.65">
      <c r="A1" s="2" t="s">
        <v>379</v>
      </c>
    </row>
    <row r="3" spans="1:15" ht="15.5" x14ac:dyDescent="0.35">
      <c r="A3" s="1" t="s">
        <v>0</v>
      </c>
    </row>
    <row r="4" spans="1:15" ht="15.5" x14ac:dyDescent="0.35">
      <c r="A4" s="1" t="s">
        <v>1</v>
      </c>
    </row>
    <row r="7" spans="1:15" ht="26.5" thickBot="1" x14ac:dyDescent="0.65">
      <c r="B7" s="11" t="s">
        <v>129</v>
      </c>
      <c r="C7" s="3"/>
      <c r="J7" s="119" t="str">
        <f t="shared" ref="J7:J8" si="0">B7</f>
        <v>Raw materials needed to make 100 million BEVs per year if no innovation</v>
      </c>
      <c r="K7" s="120"/>
      <c r="L7" s="121"/>
      <c r="M7" s="121"/>
      <c r="N7" s="121"/>
      <c r="O7" s="121"/>
    </row>
    <row r="8" spans="1:15" ht="15" thickTop="1" x14ac:dyDescent="0.35">
      <c r="B8" s="12" t="s">
        <v>2</v>
      </c>
      <c r="C8" s="13" t="s">
        <v>26</v>
      </c>
      <c r="D8" s="13" t="s">
        <v>7</v>
      </c>
      <c r="E8" s="13" t="s">
        <v>128</v>
      </c>
      <c r="F8" s="13" t="s">
        <v>3</v>
      </c>
      <c r="G8" s="13" t="s">
        <v>21</v>
      </c>
      <c r="H8" s="14" t="s">
        <v>64</v>
      </c>
      <c r="J8" s="12" t="str">
        <f t="shared" si="0"/>
        <v>Material type</v>
      </c>
      <c r="K8" s="13" t="str">
        <f t="shared" ref="K8:K23" si="1">C8</f>
        <v xml:space="preserve">One average BEV </v>
      </c>
      <c r="L8" s="13" t="str">
        <f t="shared" ref="L8:L22" si="2">E8</f>
        <v>100M BEVs</v>
      </c>
      <c r="M8" s="13" t="str">
        <f t="shared" ref="M8:M22" si="3">F8</f>
        <v xml:space="preserve">Global production </v>
      </c>
      <c r="N8" s="13" t="str">
        <f t="shared" ref="N8:N22" si="4">G8</f>
        <v xml:space="preserve">Data </v>
      </c>
      <c r="O8" s="14" t="str">
        <f t="shared" ref="O8:O22" si="5">H8</f>
        <v>In % of current</v>
      </c>
    </row>
    <row r="9" spans="1:15" x14ac:dyDescent="0.35">
      <c r="B9" s="15"/>
      <c r="C9" s="16" t="s">
        <v>8</v>
      </c>
      <c r="D9" s="16" t="s">
        <v>9</v>
      </c>
      <c r="E9" s="16" t="str">
        <f>D9</f>
        <v>in tons</v>
      </c>
      <c r="F9" s="16" t="str">
        <f>D9</f>
        <v>in tons</v>
      </c>
      <c r="G9" s="16" t="s">
        <v>20</v>
      </c>
      <c r="H9" s="17" t="s">
        <v>24</v>
      </c>
      <c r="J9" s="15"/>
      <c r="K9" s="16" t="str">
        <f t="shared" si="1"/>
        <v>in kg per vehicle</v>
      </c>
      <c r="L9" s="16" t="str">
        <f t="shared" si="2"/>
        <v>in tons</v>
      </c>
      <c r="M9" s="16" t="str">
        <f t="shared" si="3"/>
        <v>in tons</v>
      </c>
      <c r="N9" s="16" t="str">
        <f t="shared" si="4"/>
        <v>year</v>
      </c>
      <c r="O9" s="17" t="str">
        <f t="shared" si="5"/>
        <v>global production</v>
      </c>
    </row>
    <row r="10" spans="1:15" x14ac:dyDescent="0.35">
      <c r="B10" s="18" t="s">
        <v>345</v>
      </c>
      <c r="C10" s="19">
        <f>RM_ByBatChem!N23</f>
        <v>58.732800000000005</v>
      </c>
      <c r="D10" s="5">
        <f>C10*$I$26/$I$29</f>
        <v>1174656</v>
      </c>
      <c r="E10" s="5">
        <f>D10*5</f>
        <v>5873280</v>
      </c>
      <c r="F10" s="5">
        <v>3034000</v>
      </c>
      <c r="G10">
        <v>2021</v>
      </c>
      <c r="H10" s="20">
        <f>E10/F10</f>
        <v>1.9358206987475279</v>
      </c>
      <c r="J10" s="18" t="s">
        <v>345</v>
      </c>
      <c r="K10" s="32">
        <f t="shared" si="1"/>
        <v>58.732800000000005</v>
      </c>
      <c r="L10" s="5">
        <f t="shared" si="2"/>
        <v>5873280</v>
      </c>
      <c r="M10" s="5">
        <f t="shared" si="3"/>
        <v>3034000</v>
      </c>
      <c r="N10">
        <f t="shared" si="4"/>
        <v>2021</v>
      </c>
      <c r="O10" s="20">
        <f t="shared" si="5"/>
        <v>1.9358206987475279</v>
      </c>
    </row>
    <row r="11" spans="1:15" x14ac:dyDescent="0.35">
      <c r="B11" s="18" t="s">
        <v>348</v>
      </c>
      <c r="C11" s="19">
        <f>F64</f>
        <v>61.824000000000005</v>
      </c>
      <c r="D11" s="5">
        <f>C11*$I$26/$I$29</f>
        <v>1236480</v>
      </c>
      <c r="E11" s="5">
        <f t="shared" ref="E11:E22" si="6">D11*5</f>
        <v>6182400</v>
      </c>
      <c r="F11" s="5">
        <v>3300000</v>
      </c>
      <c r="G11">
        <v>2022</v>
      </c>
      <c r="H11" s="20">
        <f t="shared" ref="H11:H21" si="7">E11/F11</f>
        <v>1.8734545454545455</v>
      </c>
      <c r="J11" s="18" t="s">
        <v>348</v>
      </c>
      <c r="K11" s="32">
        <f t="shared" si="1"/>
        <v>61.824000000000005</v>
      </c>
      <c r="L11" s="5">
        <f t="shared" si="2"/>
        <v>6182400</v>
      </c>
      <c r="M11" s="5">
        <f t="shared" si="3"/>
        <v>3300000</v>
      </c>
      <c r="N11">
        <f t="shared" si="4"/>
        <v>2022</v>
      </c>
      <c r="O11" s="20">
        <f t="shared" si="5"/>
        <v>1.8734545454545455</v>
      </c>
    </row>
    <row r="12" spans="1:15" x14ac:dyDescent="0.35">
      <c r="B12" s="18" t="s">
        <v>54</v>
      </c>
      <c r="C12" s="19">
        <f>I34*C13</f>
        <v>44.23489506041976</v>
      </c>
      <c r="D12" s="5">
        <f>C12*$I$26/$I$29</f>
        <v>884697.90120839525</v>
      </c>
      <c r="E12" s="5">
        <f t="shared" si="6"/>
        <v>4423489.5060419766</v>
      </c>
      <c r="F12" s="5">
        <v>540000</v>
      </c>
      <c r="G12">
        <v>2021</v>
      </c>
      <c r="H12" s="20">
        <f>E12/F12</f>
        <v>8.1916472334110679</v>
      </c>
      <c r="J12" s="18" t="s">
        <v>54</v>
      </c>
      <c r="K12" s="32">
        <f t="shared" si="1"/>
        <v>44.23489506041976</v>
      </c>
      <c r="L12" s="5">
        <f t="shared" si="2"/>
        <v>4423489.5060419766</v>
      </c>
      <c r="M12" s="5">
        <f t="shared" si="3"/>
        <v>540000</v>
      </c>
      <c r="N12">
        <f t="shared" si="4"/>
        <v>2021</v>
      </c>
      <c r="O12" s="20">
        <f t="shared" si="5"/>
        <v>8.1916472334110679</v>
      </c>
    </row>
    <row r="13" spans="1:15" x14ac:dyDescent="0.35">
      <c r="B13" s="18" t="s">
        <v>346</v>
      </c>
      <c r="C13" s="19">
        <f>F70</f>
        <v>8.3462399999999999</v>
      </c>
      <c r="D13" s="5">
        <f>D12*$I$31</f>
        <v>166924.80000000002</v>
      </c>
      <c r="E13" s="5">
        <f>E12*$I$31</f>
        <v>834624.00000000012</v>
      </c>
      <c r="F13" s="5">
        <v>130000</v>
      </c>
      <c r="G13">
        <v>2022</v>
      </c>
      <c r="H13" s="20">
        <f>E13/F13</f>
        <v>6.420184615384616</v>
      </c>
      <c r="J13" s="18" t="s">
        <v>346</v>
      </c>
      <c r="K13" s="32">
        <f t="shared" si="1"/>
        <v>8.3462399999999999</v>
      </c>
      <c r="L13" s="5">
        <f t="shared" si="2"/>
        <v>834624.00000000012</v>
      </c>
      <c r="M13" s="5">
        <f t="shared" si="3"/>
        <v>130000</v>
      </c>
      <c r="N13">
        <f t="shared" si="4"/>
        <v>2022</v>
      </c>
      <c r="O13" s="20">
        <f t="shared" si="5"/>
        <v>6.420184615384616</v>
      </c>
    </row>
    <row r="14" spans="1:15" x14ac:dyDescent="0.35">
      <c r="B14" s="18" t="s">
        <v>191</v>
      </c>
      <c r="C14" s="19">
        <f>$I$29*D14/$I$26</f>
        <v>91</v>
      </c>
      <c r="D14" s="5">
        <v>1820000</v>
      </c>
      <c r="E14" s="5">
        <f t="shared" si="6"/>
        <v>9100000</v>
      </c>
      <c r="F14" s="5">
        <v>21200000</v>
      </c>
      <c r="G14">
        <v>2021</v>
      </c>
      <c r="H14" s="20">
        <f t="shared" si="7"/>
        <v>0.42924528301886794</v>
      </c>
      <c r="J14" s="18" t="s">
        <v>191</v>
      </c>
      <c r="K14" s="32">
        <f t="shared" si="1"/>
        <v>91</v>
      </c>
      <c r="L14" s="5">
        <f t="shared" si="2"/>
        <v>9100000</v>
      </c>
      <c r="M14" s="5">
        <f t="shared" si="3"/>
        <v>21200000</v>
      </c>
      <c r="N14">
        <f t="shared" si="4"/>
        <v>2021</v>
      </c>
      <c r="O14" s="20">
        <f t="shared" si="5"/>
        <v>0.42924528301886794</v>
      </c>
    </row>
    <row r="15" spans="1:15" x14ac:dyDescent="0.35">
      <c r="B15" s="18" t="s">
        <v>328</v>
      </c>
      <c r="C15" s="19">
        <v>10</v>
      </c>
      <c r="D15" s="5">
        <f>C15*$I$26/$I$29</f>
        <v>200000</v>
      </c>
      <c r="E15" s="5">
        <f t="shared" si="6"/>
        <v>1000000</v>
      </c>
      <c r="F15" s="5">
        <f>Mn!K27*1000</f>
        <v>20090000</v>
      </c>
      <c r="G15">
        <v>2022</v>
      </c>
      <c r="H15" s="20">
        <f t="shared" si="7"/>
        <v>4.9776007964161276E-2</v>
      </c>
      <c r="J15" s="18" t="s">
        <v>328</v>
      </c>
      <c r="K15" s="32">
        <f t="shared" si="1"/>
        <v>10</v>
      </c>
      <c r="L15" s="5">
        <f t="shared" si="2"/>
        <v>1000000</v>
      </c>
      <c r="M15" s="5">
        <f t="shared" si="3"/>
        <v>20090000</v>
      </c>
      <c r="N15">
        <f t="shared" si="4"/>
        <v>2022</v>
      </c>
      <c r="O15" s="20">
        <f t="shared" si="5"/>
        <v>4.9776007964161276E-2</v>
      </c>
    </row>
    <row r="16" spans="1:15" x14ac:dyDescent="0.35">
      <c r="B16" s="18" t="s">
        <v>248</v>
      </c>
      <c r="C16" s="19">
        <v>20</v>
      </c>
      <c r="D16" s="5">
        <f>C16*$I$26/$I$29</f>
        <v>400000</v>
      </c>
      <c r="E16" s="5">
        <f>D16*5</f>
        <v>2000000</v>
      </c>
      <c r="F16" s="5">
        <f>Mg!J24*I29</f>
        <v>1022000</v>
      </c>
      <c r="G16">
        <v>2022</v>
      </c>
      <c r="H16" s="20">
        <f>E16/F16</f>
        <v>1.9569471624266144</v>
      </c>
      <c r="J16" s="18" t="s">
        <v>248</v>
      </c>
      <c r="K16" s="32">
        <f t="shared" si="1"/>
        <v>20</v>
      </c>
      <c r="L16" s="5">
        <f t="shared" si="2"/>
        <v>2000000</v>
      </c>
      <c r="M16" s="5">
        <f t="shared" si="3"/>
        <v>1022000</v>
      </c>
      <c r="N16">
        <f t="shared" si="4"/>
        <v>2022</v>
      </c>
      <c r="O16" s="20">
        <f t="shared" si="5"/>
        <v>1.9569471624266144</v>
      </c>
    </row>
    <row r="17" spans="2:15" x14ac:dyDescent="0.35">
      <c r="B17" s="18" t="s">
        <v>252</v>
      </c>
      <c r="C17" s="19">
        <v>17.5</v>
      </c>
      <c r="D17" s="5">
        <f>C17*$I$26/$I$29</f>
        <v>350000</v>
      </c>
      <c r="E17" s="5">
        <f>D17*5</f>
        <v>1750000</v>
      </c>
      <c r="F17" s="5">
        <v>13080000</v>
      </c>
      <c r="G17">
        <v>2021</v>
      </c>
      <c r="H17" s="20">
        <f>E17/F17</f>
        <v>0.13379204892966362</v>
      </c>
      <c r="J17" s="18" t="s">
        <v>252</v>
      </c>
      <c r="K17" s="32">
        <f t="shared" si="1"/>
        <v>17.5</v>
      </c>
      <c r="L17" s="5">
        <f t="shared" si="2"/>
        <v>1750000</v>
      </c>
      <c r="M17" s="5">
        <f t="shared" si="3"/>
        <v>13080000</v>
      </c>
      <c r="N17">
        <f t="shared" si="4"/>
        <v>2021</v>
      </c>
      <c r="O17" s="20">
        <f t="shared" si="5"/>
        <v>0.13379204892966362</v>
      </c>
    </row>
    <row r="18" spans="2:15" x14ac:dyDescent="0.35">
      <c r="B18" s="35" t="s">
        <v>347</v>
      </c>
      <c r="C18" s="36">
        <f>F75</f>
        <v>6.1824000000000003</v>
      </c>
      <c r="D18" s="37">
        <f>C18*$I$26/$I$29</f>
        <v>123648</v>
      </c>
      <c r="E18" s="37">
        <f t="shared" si="6"/>
        <v>618240</v>
      </c>
      <c r="F18" s="37">
        <v>190000</v>
      </c>
      <c r="G18" s="38">
        <v>2022</v>
      </c>
      <c r="H18" s="39">
        <f t="shared" si="7"/>
        <v>3.2538947368421054</v>
      </c>
      <c r="J18" s="35" t="s">
        <v>347</v>
      </c>
      <c r="K18" s="40">
        <f t="shared" si="1"/>
        <v>6.1824000000000003</v>
      </c>
      <c r="L18" s="37">
        <f t="shared" si="2"/>
        <v>618240</v>
      </c>
      <c r="M18" s="37">
        <f t="shared" si="3"/>
        <v>190000</v>
      </c>
      <c r="N18" s="38">
        <f t="shared" si="4"/>
        <v>2022</v>
      </c>
      <c r="O18" s="39">
        <f t="shared" si="5"/>
        <v>3.2538947368421054</v>
      </c>
    </row>
    <row r="19" spans="2:15" x14ac:dyDescent="0.35">
      <c r="B19" s="18" t="s">
        <v>190</v>
      </c>
      <c r="C19" s="19">
        <f>$I$29*D19/$I$26</f>
        <v>0.9</v>
      </c>
      <c r="D19" s="5">
        <v>18000</v>
      </c>
      <c r="E19" s="5">
        <f t="shared" si="6"/>
        <v>90000</v>
      </c>
      <c r="F19" s="5">
        <v>300000</v>
      </c>
      <c r="G19">
        <v>2019</v>
      </c>
      <c r="H19" s="20">
        <f t="shared" si="7"/>
        <v>0.3</v>
      </c>
      <c r="J19" s="18" t="s">
        <v>190</v>
      </c>
      <c r="K19" s="32">
        <f t="shared" si="1"/>
        <v>0.9</v>
      </c>
      <c r="L19" s="5">
        <f t="shared" si="2"/>
        <v>90000</v>
      </c>
      <c r="M19" s="5">
        <f t="shared" si="3"/>
        <v>300000</v>
      </c>
      <c r="N19">
        <f t="shared" si="4"/>
        <v>2019</v>
      </c>
      <c r="O19" s="20">
        <f t="shared" si="5"/>
        <v>0.3</v>
      </c>
    </row>
    <row r="20" spans="2:15" x14ac:dyDescent="0.35">
      <c r="B20" s="18" t="s">
        <v>192</v>
      </c>
      <c r="C20" s="19">
        <f>$I$29*D20/$I$26</f>
        <v>169</v>
      </c>
      <c r="D20" s="5">
        <v>3380000</v>
      </c>
      <c r="E20" s="5">
        <f t="shared" si="6"/>
        <v>16900000</v>
      </c>
      <c r="F20" s="5">
        <v>68000000</v>
      </c>
      <c r="G20">
        <v>2022</v>
      </c>
      <c r="H20" s="20">
        <f t="shared" si="7"/>
        <v>0.24852941176470589</v>
      </c>
      <c r="J20" s="18" t="s">
        <v>497</v>
      </c>
      <c r="K20" s="32">
        <f t="shared" si="1"/>
        <v>169</v>
      </c>
      <c r="L20" s="5">
        <f t="shared" si="2"/>
        <v>16900000</v>
      </c>
      <c r="M20" s="5">
        <f t="shared" si="3"/>
        <v>68000000</v>
      </c>
      <c r="N20">
        <f t="shared" si="4"/>
        <v>2022</v>
      </c>
      <c r="O20" s="20">
        <f t="shared" si="5"/>
        <v>0.24852941176470589</v>
      </c>
    </row>
    <row r="21" spans="2:15" x14ac:dyDescent="0.35">
      <c r="B21" s="18" t="s">
        <v>193</v>
      </c>
      <c r="C21" s="19">
        <v>900</v>
      </c>
      <c r="D21" s="5">
        <f>C21*$I$26/$I$29</f>
        <v>18000000</v>
      </c>
      <c r="E21" s="5">
        <f t="shared" si="6"/>
        <v>90000000</v>
      </c>
      <c r="F21" s="5">
        <v>1951000000</v>
      </c>
      <c r="G21">
        <v>2021</v>
      </c>
      <c r="H21" s="20">
        <f t="shared" si="7"/>
        <v>4.613018964633521E-2</v>
      </c>
      <c r="J21" s="18" t="s">
        <v>193</v>
      </c>
      <c r="K21" s="32">
        <f t="shared" si="1"/>
        <v>900</v>
      </c>
      <c r="L21" s="5">
        <f t="shared" si="2"/>
        <v>90000000</v>
      </c>
      <c r="M21" s="5">
        <f t="shared" si="3"/>
        <v>1951000000</v>
      </c>
      <c r="N21">
        <f t="shared" si="4"/>
        <v>2021</v>
      </c>
      <c r="O21" s="20">
        <f t="shared" si="5"/>
        <v>4.613018964633521E-2</v>
      </c>
    </row>
    <row r="22" spans="2:15" x14ac:dyDescent="0.35">
      <c r="B22" s="18" t="s">
        <v>338</v>
      </c>
      <c r="C22" s="19">
        <v>250</v>
      </c>
      <c r="D22" s="5">
        <f>C22*I26/I29</f>
        <v>5000000</v>
      </c>
      <c r="E22" s="5">
        <f t="shared" si="6"/>
        <v>25000000</v>
      </c>
      <c r="F22" t="s">
        <v>15</v>
      </c>
      <c r="G22" t="s">
        <v>15</v>
      </c>
      <c r="H22" s="21" t="s">
        <v>15</v>
      </c>
      <c r="J22" s="18" t="s">
        <v>338</v>
      </c>
      <c r="K22" s="32">
        <f t="shared" si="1"/>
        <v>250</v>
      </c>
      <c r="L22" s="5">
        <f t="shared" si="2"/>
        <v>25000000</v>
      </c>
      <c r="M22" t="str">
        <f t="shared" si="3"/>
        <v>-</v>
      </c>
      <c r="N22" t="str">
        <f t="shared" si="4"/>
        <v>-</v>
      </c>
      <c r="O22" s="21" t="str">
        <f t="shared" si="5"/>
        <v>-</v>
      </c>
    </row>
    <row r="23" spans="2:15" ht="15" thickBot="1" x14ac:dyDescent="0.4">
      <c r="B23" s="22" t="s">
        <v>25</v>
      </c>
      <c r="C23" s="23">
        <f>SUM(C10:C12,C14:C22)</f>
        <v>1629.3740950604197</v>
      </c>
      <c r="D23" s="24"/>
      <c r="E23" s="24"/>
      <c r="F23" s="24"/>
      <c r="G23" s="24"/>
      <c r="H23" s="25"/>
      <c r="J23" s="22" t="s">
        <v>25</v>
      </c>
      <c r="K23" s="82">
        <f t="shared" si="1"/>
        <v>1629.3740950604197</v>
      </c>
      <c r="L23" s="24"/>
      <c r="M23" s="24"/>
      <c r="N23" s="24"/>
      <c r="O23" s="25"/>
    </row>
    <row r="24" spans="2:15" ht="15" thickTop="1" x14ac:dyDescent="0.35">
      <c r="J24" s="122" t="s">
        <v>496</v>
      </c>
      <c r="K24" s="121"/>
      <c r="L24" s="121"/>
      <c r="M24" s="121"/>
      <c r="N24" s="121"/>
      <c r="O24" s="121"/>
    </row>
    <row r="25" spans="2:15" x14ac:dyDescent="0.35">
      <c r="B25" s="6" t="s">
        <v>13</v>
      </c>
      <c r="C25" s="7"/>
      <c r="D25" s="7"/>
      <c r="E25" s="7"/>
      <c r="F25" s="7"/>
      <c r="G25" s="7"/>
      <c r="H25" s="7"/>
      <c r="I25" s="4" t="s">
        <v>6</v>
      </c>
    </row>
    <row r="26" spans="2:15" x14ac:dyDescent="0.35">
      <c r="I26" s="5">
        <v>20000000</v>
      </c>
      <c r="J26" t="s">
        <v>11</v>
      </c>
    </row>
    <row r="27" spans="2:15" x14ac:dyDescent="0.35">
      <c r="B27" s="4" t="s">
        <v>2</v>
      </c>
      <c r="C27" s="4" t="s">
        <v>10</v>
      </c>
      <c r="D27" s="4" t="s">
        <v>7</v>
      </c>
      <c r="E27" s="4" t="s">
        <v>5</v>
      </c>
      <c r="F27" s="4" t="s">
        <v>3</v>
      </c>
      <c r="G27" s="4" t="s">
        <v>4</v>
      </c>
      <c r="I27" s="5">
        <v>100000000</v>
      </c>
      <c r="J27" t="s">
        <v>12</v>
      </c>
    </row>
    <row r="28" spans="2:15" x14ac:dyDescent="0.35">
      <c r="C28" t="s">
        <v>8</v>
      </c>
      <c r="D28" t="s">
        <v>9</v>
      </c>
      <c r="E28" t="str">
        <f>D28</f>
        <v>in tons</v>
      </c>
      <c r="F28" t="str">
        <f>D28</f>
        <v>in tons</v>
      </c>
    </row>
    <row r="29" spans="2:15" x14ac:dyDescent="0.35">
      <c r="B29" s="4" t="str">
        <f t="shared" ref="B29:B35" si="8">B10</f>
        <v>Graphite battery cells 19% 83kWh</v>
      </c>
      <c r="C29" t="s">
        <v>332</v>
      </c>
      <c r="D29" s="9" t="s">
        <v>27</v>
      </c>
      <c r="E29" t="s">
        <v>15</v>
      </c>
      <c r="F29" s="9" t="s">
        <v>28</v>
      </c>
      <c r="G29" t="s">
        <v>29</v>
      </c>
      <c r="I29">
        <v>1000</v>
      </c>
      <c r="J29" t="s">
        <v>16</v>
      </c>
    </row>
    <row r="30" spans="2:15" x14ac:dyDescent="0.35">
      <c r="B30" s="4" t="str">
        <f t="shared" si="8"/>
        <v>Nickel battery cells 20% 83kWh</v>
      </c>
      <c r="C30" t="s">
        <v>265</v>
      </c>
      <c r="D30" s="9" t="s">
        <v>14</v>
      </c>
      <c r="E30" t="s">
        <v>15</v>
      </c>
      <c r="F30" s="9" t="s">
        <v>152</v>
      </c>
      <c r="G30" t="s">
        <v>15</v>
      </c>
      <c r="I30" t="s">
        <v>86</v>
      </c>
    </row>
    <row r="31" spans="2:15" x14ac:dyDescent="0.35">
      <c r="B31" s="4" t="str">
        <f t="shared" si="8"/>
        <v xml:space="preserve">Lithium carbonate or equivalent </v>
      </c>
      <c r="C31" t="s">
        <v>15</v>
      </c>
      <c r="D31" s="9" t="s">
        <v>40</v>
      </c>
      <c r="E31" t="s">
        <v>15</v>
      </c>
      <c r="F31" s="9" t="s">
        <v>38</v>
      </c>
      <c r="G31" t="s">
        <v>39</v>
      </c>
      <c r="I31">
        <v>0.18867999999999999</v>
      </c>
      <c r="J31" t="s">
        <v>87</v>
      </c>
    </row>
    <row r="32" spans="2:15" x14ac:dyDescent="0.35">
      <c r="B32" s="18" t="str">
        <f t="shared" si="8"/>
        <v>Lithium battery cells 2.7% 83kWh</v>
      </c>
      <c r="C32" t="s">
        <v>265</v>
      </c>
      <c r="D32" t="s">
        <v>15</v>
      </c>
      <c r="E32" t="s">
        <v>15</v>
      </c>
      <c r="F32" s="9" t="s">
        <v>89</v>
      </c>
      <c r="I32" t="s">
        <v>15</v>
      </c>
      <c r="J32" s="9" t="s">
        <v>88</v>
      </c>
    </row>
    <row r="33" spans="2:9" x14ac:dyDescent="0.35">
      <c r="B33" s="4" t="str">
        <f t="shared" si="8"/>
        <v>Copper (battery, motor, wires)</v>
      </c>
      <c r="C33" t="s">
        <v>15</v>
      </c>
      <c r="D33" s="9" t="s">
        <v>14</v>
      </c>
      <c r="E33" t="s">
        <v>15</v>
      </c>
      <c r="F33" s="9" t="s">
        <v>22</v>
      </c>
      <c r="G33" t="s">
        <v>15</v>
      </c>
      <c r="I33" t="s">
        <v>276</v>
      </c>
    </row>
    <row r="34" spans="2:9" x14ac:dyDescent="0.35">
      <c r="B34" s="4" t="str">
        <f t="shared" si="8"/>
        <v>Manganese (batteries, steel alloy)</v>
      </c>
      <c r="C34" s="9" t="s">
        <v>256</v>
      </c>
      <c r="D34" s="9" t="s">
        <v>287</v>
      </c>
      <c r="E34" t="s">
        <v>15</v>
      </c>
      <c r="F34" s="9" t="s">
        <v>431</v>
      </c>
      <c r="G34" t="s">
        <v>15</v>
      </c>
      <c r="I34">
        <f>1/I31</f>
        <v>5.2999788000847996</v>
      </c>
    </row>
    <row r="35" spans="2:9" x14ac:dyDescent="0.35">
      <c r="B35" s="4" t="str">
        <f t="shared" si="8"/>
        <v>Magnesium (VW Beetle)</v>
      </c>
      <c r="C35" s="9" t="s">
        <v>247</v>
      </c>
      <c r="D35" s="9" t="s">
        <v>15</v>
      </c>
      <c r="E35" t="s">
        <v>15</v>
      </c>
      <c r="F35" s="9" t="s">
        <v>242</v>
      </c>
      <c r="G35" t="s">
        <v>15</v>
      </c>
    </row>
    <row r="36" spans="2:9" x14ac:dyDescent="0.35">
      <c r="B36" s="4" t="str">
        <f>B17</f>
        <v>Zinc (rust protection battery etc)</v>
      </c>
      <c r="C36" s="9" t="s">
        <v>250</v>
      </c>
      <c r="D36" s="9" t="s">
        <v>15</v>
      </c>
      <c r="E36" t="s">
        <v>15</v>
      </c>
      <c r="F36" s="9" t="s">
        <v>251</v>
      </c>
      <c r="G36" t="s">
        <v>15</v>
      </c>
    </row>
    <row r="37" spans="2:9" x14ac:dyDescent="0.35">
      <c r="B37" s="4" t="str">
        <f t="shared" ref="B37:B39" si="9">B18</f>
        <v>Cobalt in battery cells 2%, 83kWh</v>
      </c>
      <c r="C37" t="s">
        <v>265</v>
      </c>
      <c r="D37" s="9" t="s">
        <v>14</v>
      </c>
      <c r="E37" t="s">
        <v>15</v>
      </c>
      <c r="F37" s="9" t="s">
        <v>149</v>
      </c>
      <c r="G37" t="s">
        <v>15</v>
      </c>
    </row>
    <row r="38" spans="2:9" x14ac:dyDescent="0.35">
      <c r="B38" s="4" t="str">
        <f t="shared" si="9"/>
        <v>Rare earth (fx Nd, Pr, Dy, Tb)</v>
      </c>
      <c r="C38" t="s">
        <v>15</v>
      </c>
      <c r="D38" s="9" t="s">
        <v>14</v>
      </c>
      <c r="E38" t="s">
        <v>15</v>
      </c>
      <c r="F38" s="88" t="s">
        <v>19</v>
      </c>
      <c r="G38" t="s">
        <v>15</v>
      </c>
    </row>
    <row r="39" spans="2:9" x14ac:dyDescent="0.35">
      <c r="B39" s="4" t="str">
        <f t="shared" si="9"/>
        <v>Aluminum (vehicle GM Volt))</v>
      </c>
      <c r="C39" t="s">
        <v>15</v>
      </c>
      <c r="D39" s="9" t="s">
        <v>14</v>
      </c>
      <c r="E39" t="s">
        <v>15</v>
      </c>
      <c r="F39" s="9" t="s">
        <v>194</v>
      </c>
      <c r="G39" t="s">
        <v>15</v>
      </c>
    </row>
    <row r="40" spans="2:9" x14ac:dyDescent="0.35">
      <c r="B40" s="4" t="s">
        <v>52</v>
      </c>
      <c r="C40" t="s">
        <v>18</v>
      </c>
      <c r="D40" t="s">
        <v>15</v>
      </c>
      <c r="E40" t="s">
        <v>15</v>
      </c>
      <c r="F40" s="9" t="s">
        <v>23</v>
      </c>
      <c r="G40" t="s">
        <v>15</v>
      </c>
    </row>
    <row r="41" spans="2:9" x14ac:dyDescent="0.35">
      <c r="B41" s="4" t="s">
        <v>17</v>
      </c>
      <c r="C41" t="s">
        <v>18</v>
      </c>
      <c r="D41" t="s">
        <v>15</v>
      </c>
      <c r="F41" t="s">
        <v>15</v>
      </c>
    </row>
    <row r="47" spans="2:9" x14ac:dyDescent="0.35">
      <c r="B47" s="4" t="s">
        <v>58</v>
      </c>
    </row>
    <row r="48" spans="2:9" x14ac:dyDescent="0.35">
      <c r="B48">
        <v>0.08</v>
      </c>
    </row>
    <row r="49" spans="2:8" x14ac:dyDescent="0.35">
      <c r="B49" s="9" t="s">
        <v>59</v>
      </c>
    </row>
    <row r="50" spans="2:8" x14ac:dyDescent="0.35">
      <c r="B50" t="s">
        <v>61</v>
      </c>
    </row>
    <row r="51" spans="2:8" x14ac:dyDescent="0.35">
      <c r="B51">
        <v>530</v>
      </c>
      <c r="C51" t="s">
        <v>272</v>
      </c>
    </row>
    <row r="52" spans="2:8" x14ac:dyDescent="0.35">
      <c r="B52" t="s">
        <v>60</v>
      </c>
    </row>
    <row r="54" spans="2:8" x14ac:dyDescent="0.35">
      <c r="B54" t="s">
        <v>62</v>
      </c>
      <c r="C54">
        <f>B51*B48</f>
        <v>42.4</v>
      </c>
    </row>
    <row r="56" spans="2:8" x14ac:dyDescent="0.35">
      <c r="B56" t="s">
        <v>63</v>
      </c>
      <c r="C56">
        <f>90-C54-23</f>
        <v>24.6</v>
      </c>
    </row>
    <row r="59" spans="2:8" x14ac:dyDescent="0.35">
      <c r="B59" s="4" t="s">
        <v>342</v>
      </c>
      <c r="F59" t="s">
        <v>331</v>
      </c>
      <c r="G59" t="s">
        <v>87</v>
      </c>
    </row>
    <row r="60" spans="2:8" x14ac:dyDescent="0.35">
      <c r="B60" t="s">
        <v>264</v>
      </c>
      <c r="F60" s="109">
        <v>0.2</v>
      </c>
      <c r="G60" s="9" t="s">
        <v>222</v>
      </c>
      <c r="H60" t="s">
        <v>266</v>
      </c>
    </row>
    <row r="61" spans="2:8" x14ac:dyDescent="0.35">
      <c r="B61" t="s">
        <v>267</v>
      </c>
      <c r="F61">
        <v>4416</v>
      </c>
      <c r="G61" s="9" t="s">
        <v>268</v>
      </c>
    </row>
    <row r="62" spans="2:8" x14ac:dyDescent="0.35">
      <c r="B62" t="s">
        <v>269</v>
      </c>
      <c r="F62">
        <v>70</v>
      </c>
      <c r="G62" s="9" t="s">
        <v>270</v>
      </c>
    </row>
    <row r="63" spans="2:8" x14ac:dyDescent="0.35">
      <c r="B63" t="s">
        <v>329</v>
      </c>
      <c r="F63">
        <f>F61*F62/1000</f>
        <v>309.12</v>
      </c>
      <c r="G63" t="s">
        <v>272</v>
      </c>
    </row>
    <row r="64" spans="2:8" x14ac:dyDescent="0.35">
      <c r="B64" t="s">
        <v>271</v>
      </c>
      <c r="F64" s="4">
        <f>F63*F60</f>
        <v>61.824000000000005</v>
      </c>
      <c r="G64" t="s">
        <v>272</v>
      </c>
    </row>
    <row r="65" spans="2:8" x14ac:dyDescent="0.35">
      <c r="B65" t="s">
        <v>339</v>
      </c>
      <c r="F65" s="65">
        <v>269</v>
      </c>
      <c r="G65" t="s">
        <v>303</v>
      </c>
      <c r="H65" s="9" t="s">
        <v>340</v>
      </c>
    </row>
    <row r="66" spans="2:8" x14ac:dyDescent="0.35">
      <c r="B66" t="s">
        <v>341</v>
      </c>
      <c r="F66" s="65">
        <f>F65*F63/1000</f>
        <v>83.153279999999995</v>
      </c>
      <c r="G66" t="s">
        <v>331</v>
      </c>
    </row>
    <row r="68" spans="2:8" x14ac:dyDescent="0.35">
      <c r="B68" s="4" t="s">
        <v>343</v>
      </c>
    </row>
    <row r="69" spans="2:8" x14ac:dyDescent="0.35">
      <c r="B69" t="s">
        <v>264</v>
      </c>
      <c r="F69" s="8">
        <v>2.7E-2</v>
      </c>
      <c r="G69" s="9" t="s">
        <v>222</v>
      </c>
      <c r="H69" t="s">
        <v>266</v>
      </c>
    </row>
    <row r="70" spans="2:8" x14ac:dyDescent="0.35">
      <c r="B70" t="s">
        <v>273</v>
      </c>
      <c r="F70" s="134">
        <f>F$63*F69</f>
        <v>8.3462399999999999</v>
      </c>
      <c r="G70" t="s">
        <v>272</v>
      </c>
    </row>
    <row r="73" spans="2:8" x14ac:dyDescent="0.35">
      <c r="B73" s="4" t="s">
        <v>344</v>
      </c>
    </row>
    <row r="74" spans="2:8" x14ac:dyDescent="0.35">
      <c r="B74" t="s">
        <v>274</v>
      </c>
      <c r="F74" s="8">
        <v>0.02</v>
      </c>
      <c r="G74" s="9" t="s">
        <v>222</v>
      </c>
      <c r="H74" t="s">
        <v>266</v>
      </c>
    </row>
    <row r="75" spans="2:8" x14ac:dyDescent="0.35">
      <c r="B75" t="s">
        <v>275</v>
      </c>
      <c r="F75" s="134">
        <f>F$63*F74</f>
        <v>6.1824000000000003</v>
      </c>
    </row>
  </sheetData>
  <phoneticPr fontId="5" type="noConversion"/>
  <hyperlinks>
    <hyperlink ref="F40" r:id="rId1" xr:uid="{0D27EFBF-958B-4066-9BAE-8886F7B0858D}"/>
    <hyperlink ref="F29" r:id="rId2" xr:uid="{D1072F87-D3D1-46B9-BF90-6850E64AF18D}"/>
    <hyperlink ref="F32" r:id="rId3" xr:uid="{EBDDC695-D8B3-4919-AD73-B1A5D3F9B63E}"/>
    <hyperlink ref="F31" r:id="rId4" xr:uid="{DF205339-E4C6-4612-8CDC-B3267BF3AA9A}"/>
    <hyperlink ref="D29" r:id="rId5" location=":~:text=Graphite%20is%20thus%20considered%20indispensable,containing%2020%2D30%25%20graphite." xr:uid="{94002877-2030-4AA8-B400-9C64D06E9D9E}"/>
    <hyperlink ref="D30" r:id="rId6" xr:uid="{C4DE1C3F-8691-44E2-8334-A8D90E1A2940}"/>
    <hyperlink ref="D31" r:id="rId7" xr:uid="{B0A2DCEA-B289-4279-8AAF-A2E80B14B43F}"/>
    <hyperlink ref="D33" r:id="rId8" xr:uid="{773B7336-3C81-4A3F-9B85-19196950C243}"/>
    <hyperlink ref="D37" r:id="rId9" xr:uid="{A8ED77A4-59E8-4EB7-B602-DB63A246780A}"/>
    <hyperlink ref="D38" r:id="rId10" xr:uid="{12766662-6937-419B-AA7E-61BE9ACD01EF}"/>
    <hyperlink ref="D39" r:id="rId11" xr:uid="{AC711A0C-8E26-4C15-9AC7-A4A4A763AF41}"/>
    <hyperlink ref="F33" r:id="rId12" xr:uid="{8947FDCC-8192-4292-BA1E-0A71EF52B9D0}"/>
    <hyperlink ref="F38" r:id="rId13" xr:uid="{6E389586-5ED5-4CFC-A494-954D38CEA065}"/>
    <hyperlink ref="F37" r:id="rId14" xr:uid="{A0293EBC-E2D3-4001-9D01-53DAF1AC6206}"/>
    <hyperlink ref="F30" r:id="rId15" xr:uid="{E597ECC5-8078-4FB8-B664-359D59EE6B5C}"/>
    <hyperlink ref="F39" r:id="rId16" xr:uid="{12EC93F6-3ECA-4FDC-BF65-11B0453EFD7E}"/>
    <hyperlink ref="C35" r:id="rId17" xr:uid="{67E38CC1-CD34-450A-B4B3-831CAFD3AD50}"/>
    <hyperlink ref="C36" r:id="rId18" xr:uid="{C1006C27-476E-4DE4-9D48-855B71DBB54A}"/>
    <hyperlink ref="C34" r:id="rId19" xr:uid="{F47CD84A-396A-4378-A446-F2EFF3BD6E60}"/>
    <hyperlink ref="B49" r:id="rId20" location=":~:text=Average%20ICEs%20contain%2018%2D49%20pounds%20of%20copper" xr:uid="{B279CFC7-62DF-40D0-BC52-18ABAB26D6AD}"/>
    <hyperlink ref="G62" r:id="rId21" xr:uid="{2DB6D08D-C5AA-4DF4-AEFC-2C447C0D9705}"/>
    <hyperlink ref="G61" r:id="rId22" xr:uid="{E912001A-CEE6-43E7-BB37-D9D6242BD823}"/>
    <hyperlink ref="D34" r:id="rId23" xr:uid="{F1BC028C-6DB9-4622-AD18-E5BC7023B40F}"/>
    <hyperlink ref="H65" r:id="rId24" xr:uid="{8A85D42D-08D8-42D4-918B-989780896814}"/>
    <hyperlink ref="F34" r:id="rId25" xr:uid="{6B28E4B9-8D4B-442A-B4AB-763FFBC26218}"/>
  </hyperlinks>
  <pageMargins left="0.7" right="0.7" top="0.75" bottom="0.75" header="0.3" footer="0.3"/>
  <pageSetup orientation="portrait" verticalDpi="0" r:id="rId2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94C2F-5F6E-4F90-AB37-928ECA4E4EE2}">
  <dimension ref="A1:V66"/>
  <sheetViews>
    <sheetView workbookViewId="0">
      <selection activeCell="M9" sqref="M9"/>
    </sheetView>
  </sheetViews>
  <sheetFormatPr defaultRowHeight="14.5" x14ac:dyDescent="0.35"/>
  <cols>
    <col min="2" max="2" width="29.36328125" customWidth="1"/>
    <col min="3" max="3" width="13.90625" customWidth="1"/>
    <col min="4" max="4" width="5.54296875" customWidth="1"/>
    <col min="5" max="5" width="7.6328125" customWidth="1"/>
    <col min="6" max="6" width="7.90625" customWidth="1"/>
    <col min="7" max="7" width="9.453125" customWidth="1"/>
    <col min="8" max="8" width="11.81640625" customWidth="1"/>
    <col min="9" max="9" width="13" customWidth="1"/>
    <col min="12" max="12" width="10" customWidth="1"/>
    <col min="22" max="22" width="10.7265625" bestFit="1" customWidth="1"/>
  </cols>
  <sheetData>
    <row r="1" spans="1:22" ht="28.5" x14ac:dyDescent="0.65">
      <c r="A1" s="2" t="str">
        <f>RawMaterialsBEV!A1</f>
        <v>Solutions to cobalt supply chain problems for transitioning to a BEVs only future #21</v>
      </c>
    </row>
    <row r="3" spans="1:22" ht="15.5" x14ac:dyDescent="0.35">
      <c r="A3" s="1" t="str">
        <f>RawMaterialsBEV!A3</f>
        <v>Proprietary. © H. Mathiesen. This material can be used by others free of charge provided that the author H. Mathiesen is attributed and a clickable link is made visible to the location of used material on www.hmexperience.dk</v>
      </c>
    </row>
    <row r="4" spans="1:22" ht="15.5" x14ac:dyDescent="0.35">
      <c r="A4" s="1" t="str">
        <f>RawMaterialsBEV!A4</f>
        <v>Sources to all information used in this spreadsheet can also be found in associated PowerPoint presentation located also at www.hmexperience.dk</v>
      </c>
    </row>
    <row r="8" spans="1:22" ht="21.5" thickBot="1" x14ac:dyDescent="0.55000000000000004">
      <c r="B8" s="119" t="s">
        <v>350</v>
      </c>
      <c r="C8" s="121"/>
      <c r="D8" s="121"/>
      <c r="E8" s="121"/>
      <c r="F8" s="121"/>
      <c r="G8" s="121"/>
      <c r="H8" s="121"/>
      <c r="I8" s="121"/>
      <c r="K8" s="4" t="s">
        <v>261</v>
      </c>
    </row>
    <row r="9" spans="1:22" ht="15" thickTop="1" x14ac:dyDescent="0.35">
      <c r="B9" s="12" t="s">
        <v>2</v>
      </c>
      <c r="C9" s="13" t="s">
        <v>173</v>
      </c>
      <c r="D9" s="13" t="str">
        <f>RawMaterialsBEV!G8</f>
        <v xml:space="preserve">Data </v>
      </c>
      <c r="E9" s="13" t="s">
        <v>138</v>
      </c>
      <c r="F9" s="13" t="s">
        <v>161</v>
      </c>
      <c r="G9" s="13" t="str">
        <f>CostOfRawMaterialsBEV!F8</f>
        <v xml:space="preserve">Date of </v>
      </c>
      <c r="H9" s="14" t="s">
        <v>163</v>
      </c>
      <c r="I9" s="94" t="s">
        <v>187</v>
      </c>
      <c r="K9" s="8"/>
    </row>
    <row r="10" spans="1:22" x14ac:dyDescent="0.35">
      <c r="B10" s="15"/>
      <c r="C10" s="86" t="s">
        <v>174</v>
      </c>
      <c r="D10" s="86" t="str">
        <f>RawMaterialsBEV!G9</f>
        <v>year</v>
      </c>
      <c r="E10" s="86" t="s">
        <v>139</v>
      </c>
      <c r="F10" s="86" t="s">
        <v>162</v>
      </c>
      <c r="G10" s="86" t="str">
        <f>CostOfRawMaterialsBEV!F9</f>
        <v>price info</v>
      </c>
      <c r="H10" s="17" t="s">
        <v>164</v>
      </c>
      <c r="I10" s="95" t="s">
        <v>186</v>
      </c>
      <c r="K10" s="8"/>
    </row>
    <row r="11" spans="1:22" x14ac:dyDescent="0.35">
      <c r="B11" s="18" t="s">
        <v>491</v>
      </c>
      <c r="C11" s="68">
        <f>RawMaterialsBEV!F10</f>
        <v>3034000</v>
      </c>
      <c r="D11" s="90">
        <f>RawMaterialsBEV!G10</f>
        <v>2021</v>
      </c>
      <c r="E11" s="69">
        <f>C11/C33</f>
        <v>7.7754997437211684E-4</v>
      </c>
      <c r="F11" s="91">
        <f>CostOfRawMaterialsBEV!D10</f>
        <v>2.2810000000000001</v>
      </c>
      <c r="G11" s="92">
        <f>CostOfRawMaterialsBEV!F10</f>
        <v>44682</v>
      </c>
      <c r="H11" s="93">
        <f>F11*C11*$P$17/$P$21</f>
        <v>6920.5540000000001</v>
      </c>
      <c r="I11" s="96">
        <f>RawMaterialsBEV!E10</f>
        <v>5873280</v>
      </c>
      <c r="K11" s="8"/>
    </row>
    <row r="12" spans="1:22" x14ac:dyDescent="0.35">
      <c r="B12" s="89" t="s">
        <v>143</v>
      </c>
      <c r="C12" s="68">
        <v>1034000</v>
      </c>
      <c r="D12" s="90">
        <f>D11</f>
        <v>2021</v>
      </c>
      <c r="E12" s="101" t="s">
        <v>15</v>
      </c>
      <c r="F12" s="102" t="s">
        <v>15</v>
      </c>
      <c r="G12" s="103" t="s">
        <v>15</v>
      </c>
      <c r="H12" s="93">
        <f>H11*(C12/C11)</f>
        <v>2358.5540000000001</v>
      </c>
      <c r="I12" s="100" t="s">
        <v>15</v>
      </c>
      <c r="K12" s="8"/>
    </row>
    <row r="13" spans="1:22" x14ac:dyDescent="0.35">
      <c r="B13" s="89" t="s">
        <v>142</v>
      </c>
      <c r="C13" s="68">
        <v>2000000</v>
      </c>
      <c r="D13" s="90">
        <f>D11</f>
        <v>2021</v>
      </c>
      <c r="E13" s="101" t="s">
        <v>15</v>
      </c>
      <c r="F13" s="102" t="s">
        <v>15</v>
      </c>
      <c r="G13" s="103" t="s">
        <v>15</v>
      </c>
      <c r="H13" s="93">
        <f>H11*(C13/C11)</f>
        <v>4562</v>
      </c>
      <c r="I13" s="100" t="s">
        <v>15</v>
      </c>
      <c r="K13" s="8"/>
    </row>
    <row r="14" spans="1:22" x14ac:dyDescent="0.35">
      <c r="B14" s="18" t="s">
        <v>349</v>
      </c>
      <c r="C14" s="5">
        <f>RawMaterialsBEV!F11</f>
        <v>3300000</v>
      </c>
      <c r="D14">
        <f>RawMaterialsBEV!G11</f>
        <v>2022</v>
      </c>
      <c r="E14" s="107" t="s">
        <v>15</v>
      </c>
      <c r="F14" s="32">
        <f>CostOfRawMaterialsBEV!D12</f>
        <v>25.42</v>
      </c>
      <c r="G14" s="83">
        <f>CostOfRawMaterialsBEV!F12</f>
        <v>45036</v>
      </c>
      <c r="H14" s="85">
        <f>F14*C14*$P$17/$P$21</f>
        <v>83886</v>
      </c>
      <c r="I14" s="98">
        <f>RawMaterialsBEV!E11</f>
        <v>6182400</v>
      </c>
      <c r="K14" s="8"/>
      <c r="P14" s="4" t="s">
        <v>167</v>
      </c>
      <c r="V14" s="5">
        <v>6600000</v>
      </c>
    </row>
    <row r="15" spans="1:22" x14ac:dyDescent="0.35">
      <c r="B15" s="18" t="s">
        <v>258</v>
      </c>
      <c r="C15" s="5">
        <f>(1/K15)*C14</f>
        <v>275000000</v>
      </c>
      <c r="D15">
        <f>D14</f>
        <v>2022</v>
      </c>
      <c r="E15" s="8">
        <f>C15/C33</f>
        <v>7.0476678626345463E-2</v>
      </c>
      <c r="F15" s="104" t="s">
        <v>15</v>
      </c>
      <c r="G15" s="105" t="s">
        <v>15</v>
      </c>
      <c r="H15" s="106" t="s">
        <v>15</v>
      </c>
      <c r="I15" s="98">
        <f>(1/K15)*I14</f>
        <v>515200000</v>
      </c>
      <c r="K15" s="8">
        <v>1.2E-2</v>
      </c>
      <c r="V15" s="37">
        <f>(1/K15)*V14</f>
        <v>550000000</v>
      </c>
    </row>
    <row r="16" spans="1:22" x14ac:dyDescent="0.35">
      <c r="B16" s="89" t="s">
        <v>54</v>
      </c>
      <c r="C16" s="68">
        <f>RawMaterialsBEV!F12</f>
        <v>540000</v>
      </c>
      <c r="D16" s="90">
        <f>RawMaterialsBEV!G12</f>
        <v>2021</v>
      </c>
      <c r="E16" s="69"/>
      <c r="F16" s="91">
        <f>CostOfRawMaterialsBEV!D13</f>
        <v>28.0147175</v>
      </c>
      <c r="G16" s="92">
        <f>CostOfRawMaterialsBEV!F13</f>
        <v>45033</v>
      </c>
      <c r="H16" s="93">
        <f>F16*C16*$P$17/$P$21</f>
        <v>15127.94745</v>
      </c>
      <c r="I16" s="96">
        <f>RawMaterialsBEV!E12</f>
        <v>4423489.5060419766</v>
      </c>
      <c r="K16" s="8"/>
      <c r="P16" t="s">
        <v>135</v>
      </c>
    </row>
    <row r="17" spans="2:16" x14ac:dyDescent="0.35">
      <c r="B17" s="89" t="s">
        <v>346</v>
      </c>
      <c r="C17" s="68">
        <f>RawMaterialsBEV!F13</f>
        <v>130000</v>
      </c>
      <c r="D17" s="90">
        <f>RawMaterialsBEV!G13</f>
        <v>2022</v>
      </c>
      <c r="E17" s="69"/>
      <c r="F17" s="91">
        <f>CostOfRawMaterialsBEV!D14</f>
        <v>148.47740884036463</v>
      </c>
      <c r="G17" s="92">
        <f>CostOfRawMaterialsBEV!F14</f>
        <v>45033</v>
      </c>
      <c r="H17" s="93">
        <f>F17*C17*$P$17/$P$21</f>
        <v>19302.063149247402</v>
      </c>
      <c r="I17" s="96">
        <f>RawMaterialsBEV!E13</f>
        <v>834624.00000000012</v>
      </c>
      <c r="K17" s="8"/>
      <c r="P17">
        <v>1000</v>
      </c>
    </row>
    <row r="18" spans="2:16" x14ac:dyDescent="0.35">
      <c r="B18" s="89" t="s">
        <v>259</v>
      </c>
      <c r="C18" s="68">
        <f>(1/K18)*C17</f>
        <v>18571428.571428571</v>
      </c>
      <c r="D18" s="90">
        <f>D17</f>
        <v>2022</v>
      </c>
      <c r="E18" s="69">
        <f>C18/C33</f>
        <v>4.7594640111298233E-3</v>
      </c>
      <c r="F18" s="91" t="s">
        <v>15</v>
      </c>
      <c r="G18" s="92" t="s">
        <v>15</v>
      </c>
      <c r="H18" s="93" t="s">
        <v>15</v>
      </c>
      <c r="I18" s="96">
        <f>(1/K18)*I17</f>
        <v>119232000.00000001</v>
      </c>
      <c r="K18" s="8">
        <v>7.0000000000000001E-3</v>
      </c>
      <c r="L18" s="8">
        <f>I18/C33</f>
        <v>3.0556637621732448E-2</v>
      </c>
    </row>
    <row r="19" spans="2:16" x14ac:dyDescent="0.35">
      <c r="B19" s="18" t="s">
        <v>191</v>
      </c>
      <c r="C19" s="5">
        <f>RawMaterialsBEV!F14</f>
        <v>21200000</v>
      </c>
      <c r="D19">
        <f>RawMaterialsBEV!G14</f>
        <v>2021</v>
      </c>
      <c r="E19" s="107" t="s">
        <v>15</v>
      </c>
      <c r="F19" s="32">
        <f>CostOfRawMaterialsBEV!D16</f>
        <v>9.02</v>
      </c>
      <c r="G19" s="83">
        <f>CostOfRawMaterialsBEV!F16</f>
        <v>45010</v>
      </c>
      <c r="H19" s="85">
        <f>F19*C19*$P$17/$P$21</f>
        <v>191224</v>
      </c>
      <c r="I19" s="98">
        <f>RawMaterialsBEV!E14</f>
        <v>9100000</v>
      </c>
      <c r="K19" s="8"/>
      <c r="P19" t="s">
        <v>136</v>
      </c>
    </row>
    <row r="20" spans="2:16" x14ac:dyDescent="0.35">
      <c r="B20" s="18" t="s">
        <v>141</v>
      </c>
      <c r="C20" s="5">
        <f>(1/K20)*C19</f>
        <v>3533333333.333333</v>
      </c>
      <c r="D20">
        <f>D19</f>
        <v>2021</v>
      </c>
      <c r="E20" s="8">
        <f>C20/C33</f>
        <v>0.90551853750213562</v>
      </c>
      <c r="F20" s="104" t="s">
        <v>15</v>
      </c>
      <c r="G20" s="105" t="s">
        <v>15</v>
      </c>
      <c r="H20" s="106" t="s">
        <v>15</v>
      </c>
      <c r="I20" s="98">
        <f>(1/K20)*I19</f>
        <v>1516666666.6666665</v>
      </c>
      <c r="K20" s="8">
        <v>6.0000000000000001E-3</v>
      </c>
    </row>
    <row r="21" spans="2:16" x14ac:dyDescent="0.35">
      <c r="B21" s="89" t="s">
        <v>257</v>
      </c>
      <c r="C21" s="68">
        <f>RawMaterialsBEV!F15</f>
        <v>20090000</v>
      </c>
      <c r="D21" s="90">
        <f>RawMaterialsBEV!G15</f>
        <v>2022</v>
      </c>
      <c r="E21" s="69"/>
      <c r="F21" s="91">
        <f>CostOfRawMaterialsBEV!D17</f>
        <v>4.7297574999999998</v>
      </c>
      <c r="G21" s="92">
        <f>CostOfRawMaterialsBEV!F17</f>
        <v>45010</v>
      </c>
      <c r="H21" s="93">
        <f>F21*C21*$P$17/$P$21</f>
        <v>95020.828175000002</v>
      </c>
      <c r="I21" s="96">
        <f>RawMaterialsBEV!E15</f>
        <v>1000000</v>
      </c>
      <c r="K21" s="8"/>
      <c r="P21" s="5">
        <v>1000000</v>
      </c>
    </row>
    <row r="22" spans="2:16" x14ac:dyDescent="0.35">
      <c r="B22" s="89" t="s">
        <v>147</v>
      </c>
      <c r="C22" s="68">
        <f>(1/K22)*C21</f>
        <v>66966666.666666672</v>
      </c>
      <c r="D22" s="90">
        <f>D21</f>
        <v>2022</v>
      </c>
      <c r="E22" s="69">
        <f>C22/C33</f>
        <v>1.7162139073979156E-2</v>
      </c>
      <c r="F22" s="101" t="s">
        <v>15</v>
      </c>
      <c r="G22" s="102" t="s">
        <v>15</v>
      </c>
      <c r="H22" s="103" t="s">
        <v>15</v>
      </c>
      <c r="I22" s="96">
        <f>(1/K22)*I21</f>
        <v>3333333.3333333335</v>
      </c>
      <c r="K22" s="8">
        <v>0.3</v>
      </c>
      <c r="P22" s="5"/>
    </row>
    <row r="23" spans="2:16" x14ac:dyDescent="0.35">
      <c r="B23" s="18" t="s">
        <v>225</v>
      </c>
      <c r="C23" s="5">
        <f>RawMaterialsBEV!F16</f>
        <v>1022000</v>
      </c>
      <c r="D23">
        <f>RawMaterialsBEV!G16</f>
        <v>2022</v>
      </c>
      <c r="E23" s="8"/>
      <c r="F23" s="32">
        <f>CostOfRawMaterialsBEV!D18</f>
        <v>3.9002307999999997</v>
      </c>
      <c r="G23" s="83">
        <f>CostOfRawMaterialsBEV!F18</f>
        <v>45031</v>
      </c>
      <c r="H23" s="85">
        <f>F23*C23*$P$17/$P$21</f>
        <v>3986.0358775999998</v>
      </c>
      <c r="I23" s="98">
        <f>RawMaterialsBEV!E16</f>
        <v>2000000</v>
      </c>
      <c r="K23" s="8"/>
      <c r="P23" s="5"/>
    </row>
    <row r="24" spans="2:16" x14ac:dyDescent="0.35">
      <c r="B24" s="18" t="s">
        <v>262</v>
      </c>
      <c r="C24" s="5">
        <v>26450000</v>
      </c>
      <c r="D24">
        <f>D23</f>
        <v>2022</v>
      </c>
      <c r="E24" s="8">
        <f>C24/$C$33</f>
        <v>6.7785750896975907E-3</v>
      </c>
      <c r="F24" s="107"/>
      <c r="G24" s="104"/>
      <c r="H24" s="105"/>
      <c r="I24" s="98">
        <f>(1/K24)*I23</f>
        <v>51761252.44618395</v>
      </c>
      <c r="K24" s="8">
        <f>C23/C24</f>
        <v>3.8638941398865784E-2</v>
      </c>
      <c r="L24" t="s">
        <v>263</v>
      </c>
      <c r="P24" s="8">
        <f>C23/C24</f>
        <v>3.8638941398865784E-2</v>
      </c>
    </row>
    <row r="25" spans="2:16" x14ac:dyDescent="0.35">
      <c r="B25" s="89" t="s">
        <v>252</v>
      </c>
      <c r="C25" s="68">
        <f>RawMaterialsBEV!F17</f>
        <v>13080000</v>
      </c>
      <c r="D25" s="90">
        <f>RawMaterialsBEV!G17</f>
        <v>2021</v>
      </c>
      <c r="E25" s="69"/>
      <c r="F25" s="91">
        <f>CostOfRawMaterialsBEV!D19</f>
        <v>2.847</v>
      </c>
      <c r="G25" s="92">
        <f>CostOfRawMaterialsBEV!F19</f>
        <v>45031</v>
      </c>
      <c r="H25" s="93">
        <f>F25*C25*$P$17/$P$21</f>
        <v>37238.76</v>
      </c>
      <c r="I25" s="96">
        <f>RawMaterialsBEV!E17</f>
        <v>1750000</v>
      </c>
      <c r="K25" s="8"/>
      <c r="P25" s="8"/>
    </row>
    <row r="26" spans="2:16" x14ac:dyDescent="0.35">
      <c r="B26" s="89" t="s">
        <v>253</v>
      </c>
      <c r="C26" s="68">
        <f>(1/K26)*C25</f>
        <v>261600000</v>
      </c>
      <c r="D26" s="90">
        <f>D25</f>
        <v>2021</v>
      </c>
      <c r="E26" s="69">
        <f>C26/$C$33</f>
        <v>6.7042542286007173E-2</v>
      </c>
      <c r="F26" s="91"/>
      <c r="G26" s="102"/>
      <c r="H26" s="103"/>
      <c r="I26" s="96">
        <f>(1/K26)*I25</f>
        <v>35000000</v>
      </c>
      <c r="K26" s="8">
        <v>0.05</v>
      </c>
      <c r="P26" s="8"/>
    </row>
    <row r="27" spans="2:16" x14ac:dyDescent="0.35">
      <c r="B27" s="35" t="s">
        <v>347</v>
      </c>
      <c r="C27" s="37">
        <f>RawMaterialsBEV!F18</f>
        <v>190000</v>
      </c>
      <c r="D27" s="38">
        <f>RawMaterialsBEV!G18</f>
        <v>2022</v>
      </c>
      <c r="E27" s="108" t="s">
        <v>15</v>
      </c>
      <c r="F27" s="40">
        <f>CostOfRawMaterialsBEV!D20</f>
        <v>34.18</v>
      </c>
      <c r="G27" s="84">
        <f>CostOfRawMaterialsBEV!F20</f>
        <v>45042</v>
      </c>
      <c r="H27" s="87">
        <f>F27*C27*$P$17/$P$21</f>
        <v>6494.2</v>
      </c>
      <c r="I27" s="99">
        <f>RawMaterialsBEV!E18</f>
        <v>618240</v>
      </c>
      <c r="K27" s="8"/>
      <c r="P27" t="s">
        <v>151</v>
      </c>
    </row>
    <row r="28" spans="2:16" x14ac:dyDescent="0.35">
      <c r="B28" s="35" t="s">
        <v>224</v>
      </c>
      <c r="C28" s="37">
        <f>(1/K28)*C27</f>
        <v>95000000</v>
      </c>
      <c r="D28" s="38">
        <v>2022</v>
      </c>
      <c r="E28" s="81">
        <f>C28/$C$33</f>
        <v>2.4346488980010249E-2</v>
      </c>
      <c r="F28" s="40"/>
      <c r="G28" s="84"/>
      <c r="H28" s="87"/>
      <c r="I28" s="99">
        <f>(1/K28)*I27</f>
        <v>309120000</v>
      </c>
      <c r="K28" s="8">
        <v>2E-3</v>
      </c>
    </row>
    <row r="29" spans="2:16" x14ac:dyDescent="0.35">
      <c r="B29" s="89" t="s">
        <v>190</v>
      </c>
      <c r="C29" s="68">
        <f>RawMaterialsBEV!F19</f>
        <v>300000</v>
      </c>
      <c r="D29" s="90">
        <f>RawMaterialsBEV!G19</f>
        <v>2019</v>
      </c>
      <c r="E29" s="101" t="s">
        <v>15</v>
      </c>
      <c r="F29" s="91">
        <f>CostOfRawMaterialsBEV!D21</f>
        <v>103.32701</v>
      </c>
      <c r="G29" s="92">
        <f>CostOfRawMaterialsBEV!F21</f>
        <v>45010</v>
      </c>
      <c r="H29" s="93">
        <f>F29*C29*$P$17/$P$21</f>
        <v>30998.102999999999</v>
      </c>
      <c r="I29" s="96">
        <f>RawMaterialsBEV!E19</f>
        <v>90000</v>
      </c>
      <c r="K29" s="8"/>
      <c r="P29" s="8">
        <f>C30/C31</f>
        <v>0.17894736842105263</v>
      </c>
    </row>
    <row r="30" spans="2:16" x14ac:dyDescent="0.35">
      <c r="B30" s="18" t="s">
        <v>497</v>
      </c>
      <c r="C30" s="5">
        <f>RawMaterialsBEV!F20</f>
        <v>68000000</v>
      </c>
      <c r="D30">
        <f>RawMaterialsBEV!G20</f>
        <v>2022</v>
      </c>
      <c r="E30" s="107" t="s">
        <v>15</v>
      </c>
      <c r="F30" s="32">
        <f>CostOfRawMaterialsBEV!D22</f>
        <v>2.3479999999999999</v>
      </c>
      <c r="G30" s="83">
        <f>CostOfRawMaterialsBEV!F22</f>
        <v>45010</v>
      </c>
      <c r="H30" s="85">
        <f>F30*C30*$P$17/$P$21</f>
        <v>159664</v>
      </c>
      <c r="I30" s="98">
        <f>RawMaterialsBEV!E20</f>
        <v>16900000</v>
      </c>
      <c r="K30" s="8"/>
    </row>
    <row r="31" spans="2:16" x14ac:dyDescent="0.35">
      <c r="B31" s="18" t="s">
        <v>500</v>
      </c>
      <c r="C31" s="5">
        <v>380000000</v>
      </c>
      <c r="D31">
        <v>2022</v>
      </c>
      <c r="E31" s="8">
        <f>C31/$C$33</f>
        <v>9.7385955920040998E-2</v>
      </c>
      <c r="F31" s="104" t="s">
        <v>15</v>
      </c>
      <c r="G31" s="105" t="s">
        <v>15</v>
      </c>
      <c r="H31" s="106" t="s">
        <v>15</v>
      </c>
      <c r="I31" s="98">
        <f>(1/K31)*I30</f>
        <v>94441176.470588237</v>
      </c>
      <c r="K31" s="8">
        <f>C30/C31</f>
        <v>0.17894736842105263</v>
      </c>
      <c r="P31" t="s">
        <v>156</v>
      </c>
    </row>
    <row r="32" spans="2:16" x14ac:dyDescent="0.35">
      <c r="B32" s="89" t="s">
        <v>193</v>
      </c>
      <c r="C32" s="68">
        <f>RawMaterialsBEV!F21</f>
        <v>1951000000</v>
      </c>
      <c r="D32" s="90">
        <f>RawMaterialsBEV!G21</f>
        <v>2021</v>
      </c>
      <c r="E32" s="69"/>
      <c r="F32" s="91">
        <f>CostOfRawMaterialsBEV!D23</f>
        <v>0.59449413500000003</v>
      </c>
      <c r="G32" s="92">
        <f>CostOfRawMaterialsBEV!F23</f>
        <v>45010</v>
      </c>
      <c r="H32" s="93">
        <f>F32*C32*$P$17/$P$21</f>
        <v>1159858.0573849999</v>
      </c>
      <c r="I32" s="96">
        <f>RawMaterialsBEV!E21</f>
        <v>90000000</v>
      </c>
      <c r="K32" s="8"/>
      <c r="P32">
        <v>198</v>
      </c>
    </row>
    <row r="33" spans="2:19" x14ac:dyDescent="0.35">
      <c r="B33" s="89" t="s">
        <v>133</v>
      </c>
      <c r="C33" s="68">
        <f>(1/K33)*C32</f>
        <v>3902000000</v>
      </c>
      <c r="D33" s="90">
        <v>2021</v>
      </c>
      <c r="E33" s="69">
        <v>1</v>
      </c>
      <c r="F33" s="91">
        <v>0.1235</v>
      </c>
      <c r="G33" s="92">
        <v>45020</v>
      </c>
      <c r="H33" s="93">
        <f>F33*C33*$P$17/$P$21</f>
        <v>481897</v>
      </c>
      <c r="I33" s="96">
        <f>(1/K33)*I32</f>
        <v>180000000</v>
      </c>
      <c r="K33" s="8">
        <v>0.5</v>
      </c>
      <c r="P33" t="s">
        <v>157</v>
      </c>
      <c r="Q33" s="83">
        <v>45022</v>
      </c>
    </row>
    <row r="34" spans="2:19" x14ac:dyDescent="0.35">
      <c r="B34" s="18" t="s">
        <v>195</v>
      </c>
      <c r="C34" s="5">
        <v>7700000000</v>
      </c>
      <c r="D34">
        <v>2021</v>
      </c>
      <c r="E34" s="8">
        <f>C34/$C$33</f>
        <v>1.9733470015376731</v>
      </c>
      <c r="F34" s="32">
        <f>P32/P17</f>
        <v>0.19800000000000001</v>
      </c>
      <c r="G34" s="83">
        <v>45022</v>
      </c>
      <c r="H34" s="85">
        <f>F34*C34*$P$17/$P$21</f>
        <v>1524600</v>
      </c>
      <c r="I34" s="117">
        <v>0</v>
      </c>
      <c r="K34" s="8"/>
    </row>
    <row r="35" spans="2:19" x14ac:dyDescent="0.35">
      <c r="B35" s="89" t="s">
        <v>196</v>
      </c>
      <c r="C35" s="68">
        <v>4200000000</v>
      </c>
      <c r="D35" s="90">
        <v>2021</v>
      </c>
      <c r="E35" s="69">
        <f>C35/$C$33</f>
        <v>1.0763710917478215</v>
      </c>
      <c r="F35" s="91">
        <f>P36*P39/P17</f>
        <v>0.55789999999999995</v>
      </c>
      <c r="G35" s="92">
        <v>45022</v>
      </c>
      <c r="H35" s="93">
        <f>F35*C35*$P$17/$P$21</f>
        <v>2343180</v>
      </c>
      <c r="I35" s="97">
        <v>0</v>
      </c>
      <c r="K35" s="8"/>
      <c r="P35" t="s">
        <v>158</v>
      </c>
    </row>
    <row r="36" spans="2:19" x14ac:dyDescent="0.35">
      <c r="B36" s="18" t="s">
        <v>197</v>
      </c>
      <c r="C36" s="5">
        <f>P42*P46/P39</f>
        <v>3872074514.2857141</v>
      </c>
      <c r="D36">
        <v>2021</v>
      </c>
      <c r="E36" s="8">
        <f>C36/$C$33</f>
        <v>0.99233073149300721</v>
      </c>
      <c r="F36" s="32">
        <f>P66</f>
        <v>0.49431200000000003</v>
      </c>
      <c r="G36" s="83">
        <v>45022</v>
      </c>
      <c r="H36" s="85">
        <f>F36*C36*$P$17/$P$21</f>
        <v>1914012.8973055999</v>
      </c>
      <c r="I36" s="117">
        <v>0</v>
      </c>
      <c r="K36" s="8"/>
      <c r="P36">
        <v>79.7</v>
      </c>
      <c r="Q36" t="s">
        <v>159</v>
      </c>
    </row>
    <row r="37" spans="2:19" ht="15" thickBot="1" x14ac:dyDescent="0.4">
      <c r="B37" s="113"/>
      <c r="C37" s="114"/>
      <c r="D37" s="114"/>
      <c r="E37" s="114"/>
      <c r="F37" s="114"/>
      <c r="G37" s="114"/>
      <c r="H37" s="115"/>
      <c r="I37" s="116"/>
      <c r="K37" s="8"/>
      <c r="P37" t="s">
        <v>157</v>
      </c>
      <c r="Q37" s="83">
        <v>45022</v>
      </c>
    </row>
    <row r="38" spans="2:19" ht="15" thickTop="1" x14ac:dyDescent="0.35">
      <c r="B38" s="122" t="s">
        <v>496</v>
      </c>
      <c r="C38" s="121"/>
      <c r="D38" s="121"/>
      <c r="E38" s="121"/>
      <c r="F38" s="121"/>
      <c r="G38" s="121"/>
      <c r="H38" s="121"/>
      <c r="I38" s="121"/>
      <c r="P38" t="s">
        <v>165</v>
      </c>
    </row>
    <row r="39" spans="2:19" x14ac:dyDescent="0.35">
      <c r="P39">
        <v>7</v>
      </c>
      <c r="Q39" t="s">
        <v>87</v>
      </c>
      <c r="R39" s="9" t="s">
        <v>166</v>
      </c>
    </row>
    <row r="41" spans="2:19" x14ac:dyDescent="0.35">
      <c r="B41" s="6" t="str">
        <f>RawMaterialsBEV!B25</f>
        <v>Sources and attribution</v>
      </c>
      <c r="C41" s="7"/>
      <c r="D41" s="7"/>
      <c r="E41" s="7"/>
      <c r="F41" s="7"/>
      <c r="G41" s="7"/>
      <c r="H41" s="7"/>
      <c r="I41" s="6" t="s">
        <v>260</v>
      </c>
      <c r="P41" t="s">
        <v>169</v>
      </c>
    </row>
    <row r="42" spans="2:19" x14ac:dyDescent="0.35">
      <c r="P42">
        <v>4040</v>
      </c>
      <c r="Q42" t="s">
        <v>170</v>
      </c>
      <c r="R42" t="s">
        <v>87</v>
      </c>
      <c r="S42" t="str">
        <f>C66</f>
        <v>https://www.statista.com/statistics/265344/total-global-natural-gas-production-since-1998/</v>
      </c>
    </row>
    <row r="43" spans="2:19" x14ac:dyDescent="0.35">
      <c r="B43" s="4" t="str">
        <f>RawMaterialsBEV!B27</f>
        <v>Material type</v>
      </c>
      <c r="C43" s="4" t="str">
        <f>RawMaterialsBEV!F27</f>
        <v xml:space="preserve">Global production </v>
      </c>
      <c r="D43" s="4" t="str">
        <f>RawMaterialsBEV!G27</f>
        <v>Data year</v>
      </c>
      <c r="E43" s="4"/>
      <c r="F43" s="4" t="str">
        <f>CostOfRawMaterialsBEV!D29</f>
        <v>Price per kg</v>
      </c>
      <c r="P43" t="s">
        <v>157</v>
      </c>
      <c r="Q43">
        <v>2021</v>
      </c>
    </row>
    <row r="44" spans="2:19" x14ac:dyDescent="0.35">
      <c r="C44" t="str">
        <f>RawMaterialsBEV!F28</f>
        <v>in tons</v>
      </c>
    </row>
    <row r="45" spans="2:19" x14ac:dyDescent="0.35">
      <c r="B45" s="4" t="str">
        <f>RawMaterialsBEV!B29</f>
        <v>Graphite battery cells 19% 83kWh</v>
      </c>
      <c r="C45" s="9" t="str">
        <f>RawMaterialsBEV!F29</f>
        <v>https://natural-resources.canada.ca/our-natural-resources/minerals-mining/minerals-metals-facts/graphite-facts/24027</v>
      </c>
      <c r="D45" t="s">
        <v>145</v>
      </c>
      <c r="F45" s="9" t="s">
        <v>57</v>
      </c>
      <c r="G45" t="s">
        <v>15</v>
      </c>
      <c r="P45" t="s">
        <v>171</v>
      </c>
    </row>
    <row r="46" spans="2:19" x14ac:dyDescent="0.35">
      <c r="B46" s="4" t="str">
        <f>RawMaterialsBEV!B30</f>
        <v>Nickel battery cells 20% 83kWh</v>
      </c>
      <c r="C46" s="9" t="s">
        <v>14</v>
      </c>
      <c r="D46" t="s">
        <v>15</v>
      </c>
      <c r="F46" s="9" t="s">
        <v>35</v>
      </c>
      <c r="G46" t="s">
        <v>15</v>
      </c>
      <c r="P46" s="5">
        <v>6709040</v>
      </c>
      <c r="Q46" t="s">
        <v>87</v>
      </c>
      <c r="R46" s="9" t="s">
        <v>172</v>
      </c>
    </row>
    <row r="47" spans="2:19" x14ac:dyDescent="0.35">
      <c r="B47" s="4" t="str">
        <f>B15</f>
        <v>Nickel ore at 1.2%</v>
      </c>
      <c r="C47" s="9" t="s">
        <v>222</v>
      </c>
      <c r="D47" t="s">
        <v>223</v>
      </c>
      <c r="F47" s="9"/>
      <c r="I47" s="9" t="s">
        <v>144</v>
      </c>
      <c r="J47" t="s">
        <v>15</v>
      </c>
    </row>
    <row r="48" spans="2:19" x14ac:dyDescent="0.35">
      <c r="B48" s="4" t="str">
        <f>RawMaterialsBEV!B31</f>
        <v xml:space="preserve">Lithium carbonate or equivalent </v>
      </c>
      <c r="C48" s="9" t="str">
        <f>RawMaterialsBEV!F31</f>
        <v>https://www.visualcapitalist.com/visualizing-25-years-of-lithium-production-by-country/</v>
      </c>
      <c r="D48" t="s">
        <v>146</v>
      </c>
      <c r="F48" s="9" t="s">
        <v>41</v>
      </c>
      <c r="G48" t="s">
        <v>15</v>
      </c>
      <c r="P48" t="s">
        <v>175</v>
      </c>
    </row>
    <row r="49" spans="2:20" x14ac:dyDescent="0.35">
      <c r="B49" s="18" t="str">
        <f>RawMaterialsBEV!B32</f>
        <v>Lithium battery cells 2.7% 83kWh</v>
      </c>
      <c r="C49" s="9" t="str">
        <f>RawMaterialsBEV!F32</f>
        <v>https://www.statista.com/statistics/606684/world-production-of-lithium/?ssp=1&amp;darkschemeovr=1&amp;setlang=en-XL&amp;safesearch=moderate</v>
      </c>
      <c r="D49" t="s">
        <v>15</v>
      </c>
      <c r="F49" t="s">
        <v>15</v>
      </c>
      <c r="G49" t="s">
        <v>15</v>
      </c>
      <c r="P49">
        <v>104</v>
      </c>
      <c r="Q49" t="s">
        <v>177</v>
      </c>
    </row>
    <row r="50" spans="2:20" x14ac:dyDescent="0.35">
      <c r="B50" s="4" t="str">
        <f>B18</f>
        <v>Lithium ore at 0.7%</v>
      </c>
      <c r="C50" s="9" t="s">
        <v>222</v>
      </c>
      <c r="D50" t="s">
        <v>223</v>
      </c>
      <c r="I50" s="9" t="s">
        <v>188</v>
      </c>
      <c r="J50" t="s">
        <v>189</v>
      </c>
      <c r="K50" t="s">
        <v>15</v>
      </c>
    </row>
    <row r="51" spans="2:20" x14ac:dyDescent="0.35">
      <c r="B51" s="4" t="str">
        <f>RawMaterialsBEV!B33</f>
        <v>Copper (battery, motor, wires)</v>
      </c>
      <c r="C51" s="9" t="s">
        <v>22</v>
      </c>
      <c r="D51" t="s">
        <v>15</v>
      </c>
      <c r="F51" s="9" t="s">
        <v>46</v>
      </c>
      <c r="G51" t="s">
        <v>15</v>
      </c>
      <c r="P51" t="s">
        <v>157</v>
      </c>
      <c r="Q51" s="83">
        <v>45022</v>
      </c>
    </row>
    <row r="52" spans="2:20" x14ac:dyDescent="0.35">
      <c r="B52" s="4" t="str">
        <f>B20</f>
        <v>Copper ore at 0.6%</v>
      </c>
      <c r="C52" s="9" t="s">
        <v>140</v>
      </c>
      <c r="D52" t="s">
        <v>15</v>
      </c>
      <c r="P52" t="s">
        <v>87</v>
      </c>
      <c r="Q52" t="str">
        <f>F66</f>
        <v>https://tradingeconomics.com/commodity/uk-natural-gas</v>
      </c>
    </row>
    <row r="53" spans="2:20" x14ac:dyDescent="0.35">
      <c r="B53" s="4" t="str">
        <f>RawMaterialsBEV!B34</f>
        <v>Manganese (batteries, steel alloy)</v>
      </c>
      <c r="C53" s="9" t="s">
        <v>14</v>
      </c>
      <c r="D53" t="s">
        <v>15</v>
      </c>
      <c r="F53" s="9" t="s">
        <v>47</v>
      </c>
      <c r="G53" t="s">
        <v>15</v>
      </c>
    </row>
    <row r="54" spans="2:20" x14ac:dyDescent="0.35">
      <c r="B54" s="4" t="str">
        <f>B22</f>
        <v>Manganese ore at 30%</v>
      </c>
      <c r="C54" s="9" t="s">
        <v>148</v>
      </c>
      <c r="D54" t="s">
        <v>15</v>
      </c>
      <c r="F54" s="9"/>
      <c r="P54" t="s">
        <v>178</v>
      </c>
    </row>
    <row r="55" spans="2:20" x14ac:dyDescent="0.35">
      <c r="B55" s="18" t="s">
        <v>252</v>
      </c>
      <c r="C55" s="9" t="s">
        <v>251</v>
      </c>
      <c r="D55" t="s">
        <v>15</v>
      </c>
      <c r="F55" s="9"/>
    </row>
    <row r="56" spans="2:20" x14ac:dyDescent="0.35">
      <c r="B56" s="18" t="s">
        <v>253</v>
      </c>
      <c r="C56" s="9" t="s">
        <v>254</v>
      </c>
      <c r="D56" t="s">
        <v>15</v>
      </c>
      <c r="F56" s="9"/>
    </row>
    <row r="57" spans="2:20" x14ac:dyDescent="0.35">
      <c r="B57" s="4" t="str">
        <f>RawMaterialsBEV!B37</f>
        <v>Cobalt in battery cells 2%, 83kWh</v>
      </c>
      <c r="C57" s="9" t="s">
        <v>14</v>
      </c>
      <c r="D57" t="s">
        <v>15</v>
      </c>
      <c r="F57" s="9" t="s">
        <v>45</v>
      </c>
      <c r="G57" t="s">
        <v>15</v>
      </c>
      <c r="P57">
        <f>1.25/100</f>
        <v>1.2500000000000001E-2</v>
      </c>
      <c r="Q57" t="s">
        <v>157</v>
      </c>
      <c r="R57" s="83">
        <v>45022</v>
      </c>
      <c r="S57" t="s">
        <v>87</v>
      </c>
      <c r="T57" s="9" t="s">
        <v>181</v>
      </c>
    </row>
    <row r="58" spans="2:20" x14ac:dyDescent="0.35">
      <c r="B58" s="4" t="str">
        <f>B28</f>
        <v>Cobalt ore at 0.2%</v>
      </c>
      <c r="C58" s="9" t="s">
        <v>222</v>
      </c>
      <c r="D58" t="s">
        <v>223</v>
      </c>
      <c r="F58" s="9"/>
      <c r="R58" s="83"/>
      <c r="T58" s="9"/>
    </row>
    <row r="59" spans="2:20" x14ac:dyDescent="0.35">
      <c r="B59" s="4" t="str">
        <f>RawMaterialsBEV!B38</f>
        <v>Rare earth (fx Nd, Pr, Dy, Tb)</v>
      </c>
      <c r="C59" s="88" t="s">
        <v>19</v>
      </c>
      <c r="D59" t="s">
        <v>15</v>
      </c>
      <c r="F59" s="9" t="s">
        <v>48</v>
      </c>
      <c r="G59" t="s">
        <v>15</v>
      </c>
      <c r="P59" t="s">
        <v>179</v>
      </c>
    </row>
    <row r="60" spans="2:20" x14ac:dyDescent="0.35">
      <c r="B60" s="4" t="str">
        <f>RawMaterialsBEV!B39</f>
        <v>Aluminum (vehicle GM Volt))</v>
      </c>
      <c r="C60" s="9" t="s">
        <v>14</v>
      </c>
      <c r="D60" t="s">
        <v>15</v>
      </c>
      <c r="F60" s="9" t="s">
        <v>50</v>
      </c>
      <c r="G60" t="s">
        <v>15</v>
      </c>
      <c r="P60" s="65">
        <f>P49*P57</f>
        <v>1.3</v>
      </c>
      <c r="Q60" t="s">
        <v>180</v>
      </c>
    </row>
    <row r="61" spans="2:20" x14ac:dyDescent="0.35">
      <c r="B61" s="4" t="str">
        <f>B31</f>
        <v>Aluminium ore Bauxite at 18%</v>
      </c>
      <c r="C61" s="9" t="s">
        <v>150</v>
      </c>
      <c r="D61" t="s">
        <v>15</v>
      </c>
      <c r="F61" s="9"/>
      <c r="P61" t="s">
        <v>182</v>
      </c>
    </row>
    <row r="62" spans="2:20" x14ac:dyDescent="0.35">
      <c r="B62" s="4" t="str">
        <f>RawMaterialsBEV!B40</f>
        <v>Crude steel https://kdmfab.com/mild-steel-vs-stainless-steel/</v>
      </c>
      <c r="C62" s="9" t="str">
        <f>RawMaterialsBEV!F40</f>
        <v>https://worldsteel.org/steel-topics/statistics/world-steel-in-figures-2022/</v>
      </c>
      <c r="D62" t="s">
        <v>15</v>
      </c>
      <c r="F62" s="9" t="s">
        <v>51</v>
      </c>
      <c r="G62" t="s">
        <v>15</v>
      </c>
      <c r="P62">
        <v>54.32</v>
      </c>
      <c r="Q62" t="s">
        <v>87</v>
      </c>
      <c r="R62" s="9" t="s">
        <v>172</v>
      </c>
    </row>
    <row r="63" spans="2:20" x14ac:dyDescent="0.35">
      <c r="B63" s="18" t="s">
        <v>132</v>
      </c>
      <c r="C63" s="9" t="s">
        <v>134</v>
      </c>
      <c r="D63" t="s">
        <v>15</v>
      </c>
      <c r="F63" s="9" t="s">
        <v>137</v>
      </c>
      <c r="G63" t="s">
        <v>15</v>
      </c>
      <c r="P63" t="s">
        <v>183</v>
      </c>
    </row>
    <row r="64" spans="2:20" x14ac:dyDescent="0.35">
      <c r="B64" s="4" t="str">
        <f>B34</f>
        <v>Coal (price is Newcastle Europe)</v>
      </c>
      <c r="C64" s="9" t="s">
        <v>153</v>
      </c>
      <c r="D64" t="s">
        <v>15</v>
      </c>
      <c r="F64" s="9" t="s">
        <v>154</v>
      </c>
      <c r="G64" t="s">
        <v>15</v>
      </c>
      <c r="P64">
        <f>P62*P60</f>
        <v>70.616</v>
      </c>
      <c r="Q64" t="s">
        <v>184</v>
      </c>
    </row>
    <row r="65" spans="2:16" x14ac:dyDescent="0.35">
      <c r="B65" s="4" t="str">
        <f>B35</f>
        <v>Oil (price is WTI US crude)</v>
      </c>
      <c r="C65" s="9" t="s">
        <v>155</v>
      </c>
      <c r="D65" t="s">
        <v>15</v>
      </c>
      <c r="F65" s="9" t="s">
        <v>160</v>
      </c>
      <c r="G65" t="s">
        <v>15</v>
      </c>
      <c r="P65" t="s">
        <v>185</v>
      </c>
    </row>
    <row r="66" spans="2:16" x14ac:dyDescent="0.35">
      <c r="B66" s="4" t="str">
        <f>B36</f>
        <v>Gas (price is UK natural gas)</v>
      </c>
      <c r="C66" s="9" t="s">
        <v>168</v>
      </c>
      <c r="D66" t="s">
        <v>15</v>
      </c>
      <c r="F66" s="9" t="s">
        <v>176</v>
      </c>
      <c r="G66" t="s">
        <v>15</v>
      </c>
      <c r="P66">
        <f>P64*P39/P17</f>
        <v>0.49431200000000003</v>
      </c>
    </row>
  </sheetData>
  <hyperlinks>
    <hyperlink ref="C62" r:id="rId1" display="https://worldsteel.org/steel-topics/statistics/world-steel-in-figures-2022/" xr:uid="{0078ACA3-AAC0-4488-A9D9-48855C935261}"/>
    <hyperlink ref="C45" r:id="rId2" display="https://natural-resources.canada.ca/our-natural-resources/minerals-mining/minerals-metals-facts/graphite-facts/24027" xr:uid="{A79C997B-3088-4E1D-A8D7-26C52D1914B6}"/>
    <hyperlink ref="C49" r:id="rId3" display="https://www.statista.com/statistics/606684/world-production-of-lithium/?ssp=1&amp;darkschemeovr=1&amp;setlang=en-XL&amp;safesearch=moderate" xr:uid="{297E9D5B-44BD-437E-84BE-BDAAB61ACDEF}"/>
    <hyperlink ref="C48" r:id="rId4" display="https://www.visualcapitalist.com/visualizing-25-years-of-lithium-production-by-country/" xr:uid="{666B9507-9FA1-4A30-9E8C-2A79B9AD3032}"/>
    <hyperlink ref="C63" r:id="rId5" xr:uid="{37F32956-B455-4854-AC23-32AFE65BCBA5}"/>
    <hyperlink ref="C51" r:id="rId6" xr:uid="{26B190BE-2785-4F83-9401-4ED20559816D}"/>
    <hyperlink ref="C46" r:id="rId7" xr:uid="{C731DA5B-E821-4ADC-BFF0-31A7FCC8E7EA}"/>
    <hyperlink ref="C52" r:id="rId8" location="Concentration_(beneficiation)" xr:uid="{45C6B8F1-CB18-45A0-AC26-235E4DDDF093}"/>
    <hyperlink ref="C53" r:id="rId9" xr:uid="{56A81D79-8E76-4793-B450-F6376D7345A8}"/>
    <hyperlink ref="C57" r:id="rId10" xr:uid="{22BA8B7B-E7C7-4E2A-A69E-2F43EF370B57}"/>
    <hyperlink ref="C59" r:id="rId11" xr:uid="{937C8509-E6A6-4BDE-B54A-9AEDF44A49E5}"/>
    <hyperlink ref="C60" r:id="rId12" xr:uid="{C862E410-6FF3-4E2A-80C8-6A3D78B6DA12}"/>
    <hyperlink ref="F45" r:id="rId13" xr:uid="{74A11CA8-8D31-4C56-ACF2-B0207D8631B2}"/>
    <hyperlink ref="F46" r:id="rId14" xr:uid="{2947A1D2-FECE-48CE-917B-F60D9F22FA03}"/>
    <hyperlink ref="F48" r:id="rId15" xr:uid="{14FC2353-81D3-4362-B7B6-7246DFA311CC}"/>
    <hyperlink ref="F51" r:id="rId16" xr:uid="{AF86838F-C540-4595-B9F5-C95B4DE9453E}"/>
    <hyperlink ref="F53" r:id="rId17" xr:uid="{D3E4A96D-2F58-4609-B4E6-247F97DA5C8A}"/>
    <hyperlink ref="F57" r:id="rId18" xr:uid="{989BD761-C046-4FE1-926D-0FD631928000}"/>
    <hyperlink ref="F59" r:id="rId19" xr:uid="{252CD2AD-A09D-423A-BD53-21A98C8AA37A}"/>
    <hyperlink ref="F60" r:id="rId20" xr:uid="{A97A5AC5-EA5A-4934-B488-B167B6467A04}"/>
    <hyperlink ref="F62" r:id="rId21" xr:uid="{80D96D73-E942-40D2-B8F9-992AED53270A}"/>
    <hyperlink ref="I47" r:id="rId22" location=":~:text=After%20mining%2C%20nickel%20ores%20are%20further%20processed%20to,minerals%20using%20various%20physical%20and%20chemical%20processing%20methods." xr:uid="{5A867391-C059-4729-8318-762EDFBD20E3}"/>
    <hyperlink ref="C54" r:id="rId23" xr:uid="{A1BE5B7A-A6A6-4DE1-B746-67134682A717}"/>
    <hyperlink ref="C61" r:id="rId24" xr:uid="{6236F2E5-9BC6-4CB7-B37A-8E89CE38BE2D}"/>
    <hyperlink ref="C64" r:id="rId25" xr:uid="{0D8928B2-ECAE-46BB-AC98-9F1FF5AF16AE}"/>
    <hyperlink ref="F64" r:id="rId26" xr:uid="{202884A6-C048-4E08-BC1E-7130D7A126D3}"/>
    <hyperlink ref="C65" r:id="rId27" xr:uid="{E37C0D6B-953B-45F2-B612-8ADA2FDBA233}"/>
    <hyperlink ref="F65" r:id="rId28" xr:uid="{5F80D741-917B-4DBD-B20B-22FBB6490E74}"/>
    <hyperlink ref="R39" r:id="rId29" xr:uid="{F85EC29A-8087-4F56-8434-F89081919769}"/>
    <hyperlink ref="C66" r:id="rId30" xr:uid="{8D851899-FA47-4826-9CF4-AAF404F6F22D}"/>
    <hyperlink ref="R46" r:id="rId31" xr:uid="{5B2B9D1B-00E9-45C1-A460-F6DF7789434A}"/>
    <hyperlink ref="F66" r:id="rId32" xr:uid="{E39FEB1E-03F8-4893-AFEA-6245899990CC}"/>
    <hyperlink ref="T57" r:id="rId33" xr:uid="{8CC28252-02AF-4688-BDEC-CD240F0134C6}"/>
    <hyperlink ref="R62" r:id="rId34" xr:uid="{C04FA2B0-E407-4DBE-86E3-95C8492E8BB8}"/>
    <hyperlink ref="I50" r:id="rId35" xr:uid="{B8ED467C-229B-4101-A8F4-513716DD514B}"/>
    <hyperlink ref="C56" r:id="rId36" xr:uid="{6A3C612C-83D7-4F54-8819-EC4F361B19DD}"/>
    <hyperlink ref="C58" r:id="rId37" xr:uid="{464EE295-1CE1-43FB-A351-15E2C7E791E4}"/>
    <hyperlink ref="C47" r:id="rId38" xr:uid="{F807E1B1-225B-43A8-B563-57817F7A3AEF}"/>
    <hyperlink ref="C50" r:id="rId39" xr:uid="{D9D2A8B0-C90D-48E7-BA58-541E9E2BF10C}"/>
  </hyperlinks>
  <pageMargins left="0.7" right="0.7" top="0.75" bottom="0.75" header="0.3" footer="0.3"/>
  <pageSetup orientation="portrait" verticalDpi="0" r:id="rId4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3CEDC-9B17-4B85-8854-0D8CAA24364B}">
  <dimension ref="A1:S56"/>
  <sheetViews>
    <sheetView workbookViewId="0">
      <selection activeCell="B49" sqref="B49"/>
    </sheetView>
  </sheetViews>
  <sheetFormatPr defaultRowHeight="14.5" x14ac:dyDescent="0.35"/>
  <cols>
    <col min="2" max="2" width="23.81640625" customWidth="1"/>
    <col min="3" max="3" width="20.6328125" customWidth="1"/>
    <col min="4" max="4" width="15.08984375" customWidth="1"/>
    <col min="5" max="5" width="8.1796875" customWidth="1"/>
    <col min="6" max="6" width="14.36328125" customWidth="1"/>
    <col min="7" max="7" width="7.90625" customWidth="1"/>
    <col min="8" max="8" width="14.26953125" customWidth="1"/>
    <col min="9" max="9" width="7.90625" customWidth="1"/>
    <col min="10" max="10" width="12.08984375" customWidth="1"/>
    <col min="11" max="11" width="7.90625" customWidth="1"/>
    <col min="12" max="12" width="12.1796875" customWidth="1"/>
    <col min="13" max="13" width="7.90625" customWidth="1"/>
    <col min="14" max="15" width="13.1796875" customWidth="1"/>
    <col min="16" max="16" width="9.1796875" customWidth="1"/>
    <col min="17" max="17" width="10.90625" customWidth="1"/>
  </cols>
  <sheetData>
    <row r="1" spans="1:18" ht="28.5" x14ac:dyDescent="0.65">
      <c r="A1" s="2" t="str">
        <f>RawMaterialsBEV!A1</f>
        <v>Solutions to cobalt supply chain problems for transitioning to a BEVs only future #21</v>
      </c>
    </row>
    <row r="3" spans="1:18" ht="15.5" x14ac:dyDescent="0.35">
      <c r="A3" s="1" t="str">
        <f>RawMaterialsBEV!A3</f>
        <v>Proprietary. © H. Mathiesen. This material can be used by others free of charge provided that the author H. Mathiesen is attributed and a clickable link is made visible to the location of used material on www.hmexperience.dk</v>
      </c>
    </row>
    <row r="4" spans="1:18" ht="15.5" x14ac:dyDescent="0.35">
      <c r="A4" s="1" t="str">
        <f>RawMaterialsBEV!A4</f>
        <v>Sources to all information used in this spreadsheet can also be found in associated PowerPoint presentation located also at www.hmexperience.dk</v>
      </c>
    </row>
    <row r="8" spans="1:18" x14ac:dyDescent="0.35">
      <c r="Q8" t="s">
        <v>474</v>
      </c>
    </row>
    <row r="9" spans="1:18" ht="21" x14ac:dyDescent="0.5">
      <c r="B9" s="135" t="s">
        <v>288</v>
      </c>
      <c r="C9" s="135"/>
      <c r="Q9" s="65">
        <f>SUM(Q18:Q29)</f>
        <v>375</v>
      </c>
    </row>
    <row r="10" spans="1:18" x14ac:dyDescent="0.35">
      <c r="B10" t="s">
        <v>299</v>
      </c>
      <c r="H10">
        <v>60</v>
      </c>
      <c r="N10" s="65">
        <f>RawMaterialsBEV!F66</f>
        <v>83.153279999999995</v>
      </c>
    </row>
    <row r="11" spans="1:18" x14ac:dyDescent="0.35">
      <c r="B11" t="s">
        <v>290</v>
      </c>
    </row>
    <row r="13" spans="1:18" x14ac:dyDescent="0.35">
      <c r="B13" s="76" t="s">
        <v>301</v>
      </c>
      <c r="C13" s="76" t="s">
        <v>304</v>
      </c>
      <c r="D13" s="136" t="s">
        <v>279</v>
      </c>
      <c r="E13" s="140" t="s">
        <v>311</v>
      </c>
      <c r="F13" s="136" t="s">
        <v>280</v>
      </c>
      <c r="G13" s="140" t="s">
        <v>311</v>
      </c>
      <c r="H13" s="136" t="s">
        <v>281</v>
      </c>
      <c r="I13" s="140" t="s">
        <v>311</v>
      </c>
      <c r="J13" s="136" t="s">
        <v>298</v>
      </c>
      <c r="K13" s="140" t="s">
        <v>311</v>
      </c>
      <c r="L13" s="136" t="s">
        <v>282</v>
      </c>
      <c r="M13" s="140" t="s">
        <v>311</v>
      </c>
      <c r="N13" s="136" t="s">
        <v>322</v>
      </c>
      <c r="O13" s="136" t="s">
        <v>322</v>
      </c>
      <c r="P13" s="140" t="s">
        <v>311</v>
      </c>
      <c r="Q13" s="136" t="s">
        <v>454</v>
      </c>
      <c r="R13" s="140" t="s">
        <v>311</v>
      </c>
    </row>
    <row r="14" spans="1:18" x14ac:dyDescent="0.35">
      <c r="B14" s="76" t="s">
        <v>300</v>
      </c>
      <c r="C14" s="76" t="s">
        <v>305</v>
      </c>
      <c r="D14" s="136" t="s">
        <v>289</v>
      </c>
      <c r="E14" s="140" t="s">
        <v>312</v>
      </c>
      <c r="F14" s="136" t="s">
        <v>293</v>
      </c>
      <c r="G14" s="140" t="s">
        <v>312</v>
      </c>
      <c r="H14" s="136" t="s">
        <v>296</v>
      </c>
      <c r="I14" s="140" t="s">
        <v>312</v>
      </c>
      <c r="J14" s="136" t="s">
        <v>283</v>
      </c>
      <c r="K14" s="140" t="s">
        <v>312</v>
      </c>
      <c r="L14" s="136" t="s">
        <v>284</v>
      </c>
      <c r="M14" s="140" t="s">
        <v>312</v>
      </c>
      <c r="N14" s="136" t="s">
        <v>333</v>
      </c>
      <c r="O14" s="136" t="s">
        <v>333</v>
      </c>
      <c r="P14" s="140" t="s">
        <v>312</v>
      </c>
      <c r="Q14" s="136" t="s">
        <v>453</v>
      </c>
      <c r="R14" s="140" t="s">
        <v>312</v>
      </c>
    </row>
    <row r="15" spans="1:18" x14ac:dyDescent="0.35">
      <c r="B15" s="76"/>
      <c r="C15" s="76" t="s">
        <v>306</v>
      </c>
      <c r="D15" s="136" t="s">
        <v>291</v>
      </c>
      <c r="E15" s="140" t="s">
        <v>313</v>
      </c>
      <c r="F15" s="136" t="s">
        <v>294</v>
      </c>
      <c r="G15" s="140" t="s">
        <v>313</v>
      </c>
      <c r="H15" s="136" t="s">
        <v>294</v>
      </c>
      <c r="I15" s="140" t="s">
        <v>313</v>
      </c>
      <c r="J15" s="136" t="s">
        <v>457</v>
      </c>
      <c r="K15" s="140" t="s">
        <v>313</v>
      </c>
      <c r="L15" s="136" t="s">
        <v>285</v>
      </c>
      <c r="M15" s="140" t="s">
        <v>313</v>
      </c>
      <c r="N15" s="136" t="s">
        <v>376</v>
      </c>
      <c r="O15" s="136" t="s">
        <v>378</v>
      </c>
      <c r="P15" s="140" t="s">
        <v>313</v>
      </c>
      <c r="Q15" s="136" t="s">
        <v>469</v>
      </c>
      <c r="R15" s="140" t="s">
        <v>313</v>
      </c>
    </row>
    <row r="16" spans="1:18" x14ac:dyDescent="0.35">
      <c r="B16" s="76"/>
      <c r="C16" s="76"/>
      <c r="D16" s="136" t="s">
        <v>292</v>
      </c>
      <c r="E16" s="140"/>
      <c r="F16" s="136" t="s">
        <v>295</v>
      </c>
      <c r="G16" s="140"/>
      <c r="H16" s="136" t="s">
        <v>297</v>
      </c>
      <c r="I16" s="140"/>
      <c r="J16" s="136" t="s">
        <v>286</v>
      </c>
      <c r="K16" s="140"/>
      <c r="L16" s="136" t="s">
        <v>486</v>
      </c>
      <c r="M16" s="140"/>
      <c r="N16" s="136" t="s">
        <v>375</v>
      </c>
      <c r="O16" s="136" t="s">
        <v>377</v>
      </c>
      <c r="P16" s="140"/>
      <c r="Q16" s="136" t="s">
        <v>377</v>
      </c>
      <c r="R16" s="140"/>
    </row>
    <row r="17" spans="2:18" x14ac:dyDescent="0.35">
      <c r="B17" s="4"/>
      <c r="C17" s="4"/>
      <c r="D17" s="136" t="s">
        <v>487</v>
      </c>
      <c r="F17" s="136" t="s">
        <v>487</v>
      </c>
      <c r="H17" s="136" t="s">
        <v>487</v>
      </c>
      <c r="J17" s="136" t="s">
        <v>487</v>
      </c>
      <c r="L17" s="136" t="s">
        <v>487</v>
      </c>
      <c r="N17" s="136" t="s">
        <v>487</v>
      </c>
      <c r="O17" s="136" t="s">
        <v>487</v>
      </c>
      <c r="Q17" s="136" t="s">
        <v>487</v>
      </c>
    </row>
    <row r="18" spans="2:18" x14ac:dyDescent="0.35">
      <c r="B18" s="110" t="s">
        <v>466</v>
      </c>
      <c r="C18" t="s">
        <v>308</v>
      </c>
      <c r="D18">
        <v>5</v>
      </c>
      <c r="E18" s="137">
        <f t="shared" ref="E18:E30" si="0">D18/D$30</f>
        <v>2.0920502092050208E-2</v>
      </c>
      <c r="F18">
        <v>7</v>
      </c>
      <c r="G18" s="137">
        <f>F18/F$30</f>
        <v>2.6923076923076925E-2</v>
      </c>
      <c r="H18">
        <v>6</v>
      </c>
      <c r="I18" s="137">
        <f>H18/H$30</f>
        <v>2.4E-2</v>
      </c>
      <c r="J18">
        <v>6</v>
      </c>
      <c r="K18" s="137">
        <f>J18/J$30</f>
        <v>2.6200873362445413E-2</v>
      </c>
      <c r="L18">
        <v>6</v>
      </c>
      <c r="M18" s="137">
        <f>L18/L$30</f>
        <v>2.0066889632107024E-2</v>
      </c>
      <c r="N18" s="65">
        <f>P18*N$30</f>
        <v>8.3462399999999999</v>
      </c>
      <c r="O18" s="65">
        <f>N18*(H$10/N$10)</f>
        <v>6.0223048327137549</v>
      </c>
      <c r="P18" s="137">
        <v>2.7E-2</v>
      </c>
      <c r="Q18" s="65">
        <f>R18*Q$30</f>
        <v>0</v>
      </c>
      <c r="R18" s="137">
        <v>0</v>
      </c>
    </row>
    <row r="19" spans="2:18" x14ac:dyDescent="0.35">
      <c r="B19" s="110" t="s">
        <v>455</v>
      </c>
      <c r="C19" t="s">
        <v>308</v>
      </c>
      <c r="D19">
        <v>0</v>
      </c>
      <c r="E19" s="137">
        <f t="shared" si="0"/>
        <v>0</v>
      </c>
      <c r="F19">
        <v>0</v>
      </c>
      <c r="G19" s="137">
        <f>F19/F$30</f>
        <v>0</v>
      </c>
      <c r="H19">
        <v>0</v>
      </c>
      <c r="I19" s="137">
        <f>H19/H$30</f>
        <v>0</v>
      </c>
      <c r="J19">
        <v>0</v>
      </c>
      <c r="K19" s="137">
        <f>J19/J$30</f>
        <v>0</v>
      </c>
      <c r="L19">
        <v>0</v>
      </c>
      <c r="M19" s="137">
        <f>L19/L$30</f>
        <v>0</v>
      </c>
      <c r="N19" s="65">
        <v>0</v>
      </c>
      <c r="O19" s="65">
        <v>0</v>
      </c>
      <c r="P19" s="137">
        <f>O19/O$30</f>
        <v>0</v>
      </c>
      <c r="Q19" s="65">
        <f t="shared" ref="Q19:Q28" si="1">R19*Q$30</f>
        <v>10.125</v>
      </c>
      <c r="R19" s="137">
        <f>P18</f>
        <v>2.7E-2</v>
      </c>
    </row>
    <row r="20" spans="2:18" x14ac:dyDescent="0.35">
      <c r="B20" s="110" t="s">
        <v>315</v>
      </c>
      <c r="C20" t="s">
        <v>308</v>
      </c>
      <c r="D20">
        <v>5</v>
      </c>
      <c r="E20" s="137">
        <f t="shared" si="0"/>
        <v>2.0920502092050208E-2</v>
      </c>
      <c r="F20">
        <v>11</v>
      </c>
      <c r="G20" s="137">
        <f t="shared" ref="G20:I20" si="2">F20/F$30</f>
        <v>4.230769230769231E-2</v>
      </c>
      <c r="H20">
        <v>11</v>
      </c>
      <c r="I20" s="137">
        <f t="shared" si="2"/>
        <v>4.3999999999999997E-2</v>
      </c>
      <c r="J20">
        <v>2</v>
      </c>
      <c r="K20" s="137">
        <f t="shared" ref="K20" si="3">J20/J$30</f>
        <v>8.7336244541484712E-3</v>
      </c>
      <c r="L20">
        <v>0</v>
      </c>
      <c r="M20" s="137">
        <f t="shared" ref="M20" si="4">L20/L$30</f>
        <v>0</v>
      </c>
      <c r="N20" s="65">
        <f>P20*N$30</f>
        <v>6.1824000000000003</v>
      </c>
      <c r="O20" s="65">
        <f t="shared" ref="O20:O30" si="5">N20*(H$10/N$10)</f>
        <v>4.4609665427509295</v>
      </c>
      <c r="P20" s="137">
        <v>0.02</v>
      </c>
      <c r="Q20" s="65">
        <f t="shared" si="1"/>
        <v>0</v>
      </c>
      <c r="R20" s="137">
        <v>0</v>
      </c>
    </row>
    <row r="21" spans="2:18" x14ac:dyDescent="0.35">
      <c r="B21" s="110" t="s">
        <v>316</v>
      </c>
      <c r="C21" t="s">
        <v>308</v>
      </c>
      <c r="D21">
        <v>39</v>
      </c>
      <c r="E21" s="137">
        <f t="shared" si="0"/>
        <v>0.16317991631799164</v>
      </c>
      <c r="F21">
        <v>28</v>
      </c>
      <c r="G21" s="137">
        <f t="shared" ref="G21:I21" si="6">F21/F$30</f>
        <v>0.1076923076923077</v>
      </c>
      <c r="H21">
        <v>32</v>
      </c>
      <c r="I21" s="137">
        <f t="shared" si="6"/>
        <v>0.128</v>
      </c>
      <c r="J21">
        <v>43</v>
      </c>
      <c r="K21" s="137">
        <f t="shared" ref="K21" si="7">J21/J$30</f>
        <v>0.18777292576419213</v>
      </c>
      <c r="L21">
        <v>0</v>
      </c>
      <c r="M21" s="137">
        <f t="shared" ref="M21" si="8">L21/L$30</f>
        <v>0</v>
      </c>
      <c r="N21" s="65">
        <f>P21*N$30</f>
        <v>61.824000000000005</v>
      </c>
      <c r="O21" s="65">
        <f t="shared" si="5"/>
        <v>44.609665427509299</v>
      </c>
      <c r="P21" s="137">
        <v>0.2</v>
      </c>
      <c r="Q21" s="65">
        <f t="shared" si="1"/>
        <v>0</v>
      </c>
      <c r="R21" s="137">
        <v>0</v>
      </c>
    </row>
    <row r="22" spans="2:18" x14ac:dyDescent="0.35">
      <c r="B22" s="110" t="s">
        <v>317</v>
      </c>
      <c r="C22" t="s">
        <v>308</v>
      </c>
      <c r="D22">
        <v>5</v>
      </c>
      <c r="E22" s="137">
        <f t="shared" si="0"/>
        <v>2.0920502092050208E-2</v>
      </c>
      <c r="F22">
        <v>16</v>
      </c>
      <c r="G22" s="137">
        <f t="shared" ref="G22:I22" si="9">F22/F$30</f>
        <v>6.1538461538461542E-2</v>
      </c>
      <c r="H22">
        <v>10</v>
      </c>
      <c r="I22" s="137">
        <f t="shared" si="9"/>
        <v>0.04</v>
      </c>
      <c r="J22">
        <v>0</v>
      </c>
      <c r="K22" s="137">
        <f t="shared" ref="K22" si="10">J22/J$30</f>
        <v>0</v>
      </c>
      <c r="L22">
        <v>0</v>
      </c>
      <c r="M22" s="137">
        <f t="shared" ref="M22" si="11">L22/L$30</f>
        <v>0</v>
      </c>
      <c r="N22" s="65">
        <f>P22*N$30</f>
        <v>0</v>
      </c>
      <c r="O22" s="65">
        <f t="shared" si="5"/>
        <v>0</v>
      </c>
      <c r="P22" s="137">
        <v>0</v>
      </c>
      <c r="Q22" s="65">
        <f t="shared" si="1"/>
        <v>18.75</v>
      </c>
      <c r="R22" s="137">
        <v>0.05</v>
      </c>
    </row>
    <row r="23" spans="2:18" x14ac:dyDescent="0.35">
      <c r="B23" s="110" t="s">
        <v>467</v>
      </c>
      <c r="C23" t="s">
        <v>307</v>
      </c>
      <c r="D23">
        <v>45</v>
      </c>
      <c r="E23" s="137">
        <f t="shared" si="0"/>
        <v>0.18828451882845187</v>
      </c>
      <c r="F23">
        <v>53</v>
      </c>
      <c r="G23" s="137">
        <f t="shared" ref="G23:I23" si="12">F23/F$30</f>
        <v>0.20384615384615384</v>
      </c>
      <c r="H23">
        <v>50</v>
      </c>
      <c r="I23" s="137">
        <f t="shared" si="12"/>
        <v>0.2</v>
      </c>
      <c r="J23">
        <v>44</v>
      </c>
      <c r="K23" s="137">
        <f t="shared" ref="K23" si="13">J23/J$30</f>
        <v>0.19213973799126638</v>
      </c>
      <c r="L23">
        <v>66</v>
      </c>
      <c r="M23" s="137">
        <f t="shared" ref="M23" si="14">L23/L$30</f>
        <v>0.22073578595317725</v>
      </c>
      <c r="N23" s="65">
        <f>P23*N$30</f>
        <v>58.732800000000005</v>
      </c>
      <c r="O23" s="65">
        <f t="shared" si="5"/>
        <v>42.379182156133837</v>
      </c>
      <c r="P23" s="137">
        <v>0.19</v>
      </c>
      <c r="Q23" s="65">
        <f t="shared" si="1"/>
        <v>0</v>
      </c>
      <c r="R23" s="137">
        <v>0</v>
      </c>
    </row>
    <row r="24" spans="2:18" x14ac:dyDescent="0.35">
      <c r="B24" s="110" t="s">
        <v>468</v>
      </c>
      <c r="C24" t="s">
        <v>307</v>
      </c>
      <c r="D24">
        <v>0</v>
      </c>
      <c r="E24" s="137">
        <f t="shared" si="0"/>
        <v>0</v>
      </c>
      <c r="F24">
        <v>0</v>
      </c>
      <c r="G24" s="137">
        <f>F24/F$30</f>
        <v>0</v>
      </c>
      <c r="H24">
        <v>0</v>
      </c>
      <c r="I24" s="137">
        <f>H24/H$30</f>
        <v>0</v>
      </c>
      <c r="J24">
        <v>0</v>
      </c>
      <c r="K24" s="137">
        <f>J24/J$30</f>
        <v>0</v>
      </c>
      <c r="L24">
        <v>0</v>
      </c>
      <c r="M24" s="137">
        <f>L24/L$30</f>
        <v>0</v>
      </c>
      <c r="N24" s="65">
        <v>0</v>
      </c>
      <c r="O24" s="65">
        <v>0</v>
      </c>
      <c r="P24" s="137">
        <f>O24/O$30</f>
        <v>0</v>
      </c>
      <c r="Q24" s="65">
        <f t="shared" si="1"/>
        <v>75</v>
      </c>
      <c r="R24" s="137">
        <v>0.2</v>
      </c>
    </row>
    <row r="25" spans="2:18" x14ac:dyDescent="0.35">
      <c r="B25" s="110" t="s">
        <v>318</v>
      </c>
      <c r="C25" t="s">
        <v>308</v>
      </c>
      <c r="D25">
        <v>0</v>
      </c>
      <c r="E25" s="137">
        <f t="shared" si="0"/>
        <v>0</v>
      </c>
      <c r="F25">
        <v>0</v>
      </c>
      <c r="G25" s="137">
        <f t="shared" ref="G25:I25" si="15">F25/F$30</f>
        <v>0</v>
      </c>
      <c r="H25">
        <v>0</v>
      </c>
      <c r="I25" s="137">
        <f t="shared" si="15"/>
        <v>0</v>
      </c>
      <c r="J25">
        <v>0</v>
      </c>
      <c r="K25" s="137">
        <f t="shared" ref="K25" si="16">J25/J$30</f>
        <v>0</v>
      </c>
      <c r="L25">
        <v>41</v>
      </c>
      <c r="M25" s="137">
        <f t="shared" ref="M25" si="17">L25/L$30</f>
        <v>0.13712374581939799</v>
      </c>
      <c r="N25" s="65">
        <f>P25*N$30</f>
        <v>0</v>
      </c>
      <c r="O25" s="65">
        <f t="shared" si="5"/>
        <v>0</v>
      </c>
      <c r="P25" s="137">
        <v>0</v>
      </c>
      <c r="Q25" s="65">
        <f t="shared" si="1"/>
        <v>82.5</v>
      </c>
      <c r="R25" s="137">
        <f>P20+P21</f>
        <v>0.22</v>
      </c>
    </row>
    <row r="26" spans="2:18" x14ac:dyDescent="0.35">
      <c r="B26" s="110" t="s">
        <v>319</v>
      </c>
      <c r="C26" t="s">
        <v>456</v>
      </c>
      <c r="D26">
        <v>30</v>
      </c>
      <c r="E26" s="137">
        <f t="shared" si="0"/>
        <v>0.12552301255230125</v>
      </c>
      <c r="F26">
        <v>35</v>
      </c>
      <c r="G26" s="137">
        <f t="shared" ref="G26:I26" si="18">F26/F$30</f>
        <v>0.13461538461538461</v>
      </c>
      <c r="H26">
        <v>33</v>
      </c>
      <c r="I26" s="137">
        <f t="shared" si="18"/>
        <v>0.13200000000000001</v>
      </c>
      <c r="J26">
        <v>30</v>
      </c>
      <c r="K26" s="137">
        <f t="shared" ref="K26" si="19">J26/J$30</f>
        <v>0.13100436681222707</v>
      </c>
      <c r="L26">
        <v>44</v>
      </c>
      <c r="M26" s="137">
        <f t="shared" ref="M26" si="20">L26/L$30</f>
        <v>0.14715719063545152</v>
      </c>
      <c r="N26" s="65">
        <f>P26*N$30</f>
        <v>40.185600000000001</v>
      </c>
      <c r="O26" s="65">
        <f t="shared" si="5"/>
        <v>28.996282527881043</v>
      </c>
      <c r="P26" s="137">
        <v>0.13</v>
      </c>
      <c r="Q26" s="65">
        <f t="shared" si="1"/>
        <v>78.750000000000014</v>
      </c>
      <c r="R26" s="137">
        <f>P26+P27</f>
        <v>0.21000000000000002</v>
      </c>
    </row>
    <row r="27" spans="2:18" x14ac:dyDescent="0.35">
      <c r="B27" s="110" t="s">
        <v>320</v>
      </c>
      <c r="C27" t="s">
        <v>309</v>
      </c>
      <c r="D27">
        <v>20</v>
      </c>
      <c r="E27" s="137">
        <f t="shared" si="0"/>
        <v>8.3682008368200833E-2</v>
      </c>
      <c r="F27">
        <v>20</v>
      </c>
      <c r="G27" s="137">
        <f t="shared" ref="G27:I27" si="21">F27/F$30</f>
        <v>7.6923076923076927E-2</v>
      </c>
      <c r="H27">
        <v>19</v>
      </c>
      <c r="I27" s="137">
        <f t="shared" si="21"/>
        <v>7.5999999999999998E-2</v>
      </c>
      <c r="J27">
        <v>17</v>
      </c>
      <c r="K27" s="137">
        <f t="shared" ref="K27" si="22">J27/J$30</f>
        <v>7.4235807860262015E-2</v>
      </c>
      <c r="L27">
        <v>26</v>
      </c>
      <c r="M27" s="137">
        <f t="shared" ref="M27" si="23">L27/L$30</f>
        <v>8.6956521739130432E-2</v>
      </c>
      <c r="N27" s="65">
        <f>P27*N$30</f>
        <v>24.729600000000001</v>
      </c>
      <c r="O27" s="65">
        <f t="shared" si="5"/>
        <v>17.843866171003718</v>
      </c>
      <c r="P27" s="137">
        <v>0.08</v>
      </c>
      <c r="Q27" s="65">
        <f t="shared" si="1"/>
        <v>0</v>
      </c>
      <c r="R27" s="137">
        <v>0</v>
      </c>
    </row>
    <row r="28" spans="2:18" x14ac:dyDescent="0.35">
      <c r="B28" s="110" t="s">
        <v>489</v>
      </c>
      <c r="C28" t="s">
        <v>310</v>
      </c>
      <c r="D28">
        <v>20</v>
      </c>
      <c r="E28" s="137">
        <f t="shared" si="0"/>
        <v>8.3682008368200833E-2</v>
      </c>
      <c r="F28">
        <v>20</v>
      </c>
      <c r="G28" s="137">
        <f t="shared" ref="G28:I28" si="24">F28/F$30</f>
        <v>7.6923076923076927E-2</v>
      </c>
      <c r="H28">
        <v>19</v>
      </c>
      <c r="I28" s="137">
        <f t="shared" si="24"/>
        <v>7.5999999999999998E-2</v>
      </c>
      <c r="J28">
        <v>17</v>
      </c>
      <c r="K28" s="137">
        <f t="shared" ref="K28" si="25">J28/J$30</f>
        <v>7.4235807860262015E-2</v>
      </c>
      <c r="L28">
        <v>26</v>
      </c>
      <c r="M28" s="137">
        <f t="shared" ref="M28" si="26">L28/L$30</f>
        <v>8.6956521739130432E-2</v>
      </c>
      <c r="N28" s="65">
        <f>P28*N$30</f>
        <v>24.729600000000001</v>
      </c>
      <c r="O28" s="65">
        <f t="shared" si="5"/>
        <v>17.843866171003718</v>
      </c>
      <c r="P28" s="137">
        <v>0.08</v>
      </c>
      <c r="Q28" s="65">
        <f t="shared" si="1"/>
        <v>30</v>
      </c>
      <c r="R28" s="137">
        <f>P28</f>
        <v>0.08</v>
      </c>
    </row>
    <row r="29" spans="2:18" x14ac:dyDescent="0.35">
      <c r="B29" s="110" t="s">
        <v>488</v>
      </c>
      <c r="C29" t="s">
        <v>330</v>
      </c>
      <c r="D29">
        <v>70</v>
      </c>
      <c r="E29" s="137">
        <f t="shared" si="0"/>
        <v>0.29288702928870292</v>
      </c>
      <c r="F29">
        <f>D29</f>
        <v>70</v>
      </c>
      <c r="G29" s="137">
        <f t="shared" ref="G29:I29" si="27">F29/F$30</f>
        <v>0.26923076923076922</v>
      </c>
      <c r="H29">
        <f>D29</f>
        <v>70</v>
      </c>
      <c r="I29" s="137">
        <f t="shared" si="27"/>
        <v>0.28000000000000003</v>
      </c>
      <c r="J29">
        <f>D29</f>
        <v>70</v>
      </c>
      <c r="K29" s="137">
        <f t="shared" ref="K29" si="28">J29/J$30</f>
        <v>0.3056768558951965</v>
      </c>
      <c r="L29">
        <v>90</v>
      </c>
      <c r="M29" s="137">
        <f t="shared" ref="M29" si="29">L29/L$30</f>
        <v>0.30100334448160537</v>
      </c>
      <c r="N29" s="65">
        <f>N30-SUM(N18:N28)</f>
        <v>84.389759999999995</v>
      </c>
      <c r="O29" s="65">
        <f t="shared" si="5"/>
        <v>60.892193308550183</v>
      </c>
      <c r="P29" s="137">
        <f>P30-SUM(P18:P28)</f>
        <v>0.27300000000000013</v>
      </c>
      <c r="Q29" s="65">
        <f>R29*Q$30</f>
        <v>79.874999999999986</v>
      </c>
      <c r="R29" s="137">
        <f>R30-SUM(R18:R28)</f>
        <v>0.21299999999999997</v>
      </c>
    </row>
    <row r="30" spans="2:18" x14ac:dyDescent="0.35">
      <c r="B30" s="110" t="s">
        <v>302</v>
      </c>
      <c r="C30" s="4"/>
      <c r="D30" s="4">
        <f>SUM(D18:D29)</f>
        <v>239</v>
      </c>
      <c r="E30" s="137">
        <f t="shared" si="0"/>
        <v>1</v>
      </c>
      <c r="F30" s="4">
        <f t="shared" ref="F30:L30" si="30">SUM(F18:F29)</f>
        <v>260</v>
      </c>
      <c r="G30" s="137">
        <f t="shared" ref="G30:I30" si="31">F30/F$30</f>
        <v>1</v>
      </c>
      <c r="H30" s="4">
        <f t="shared" si="30"/>
        <v>250</v>
      </c>
      <c r="I30" s="137">
        <f t="shared" si="31"/>
        <v>1</v>
      </c>
      <c r="J30" s="4">
        <f t="shared" si="30"/>
        <v>229</v>
      </c>
      <c r="K30" s="137">
        <f t="shared" ref="K30" si="32">J30/J$30</f>
        <v>1</v>
      </c>
      <c r="L30" s="4">
        <f t="shared" si="30"/>
        <v>299</v>
      </c>
      <c r="M30" s="137">
        <f t="shared" ref="M30" si="33">L30/L$30</f>
        <v>1</v>
      </c>
      <c r="N30" s="134">
        <f>RawMaterialsBEV!F63</f>
        <v>309.12</v>
      </c>
      <c r="O30" s="134">
        <f t="shared" si="5"/>
        <v>223.04832713754647</v>
      </c>
      <c r="P30" s="137">
        <v>1</v>
      </c>
      <c r="Q30" s="134">
        <f>H10*1000/Q31</f>
        <v>375</v>
      </c>
      <c r="R30" s="137">
        <v>1</v>
      </c>
    </row>
    <row r="31" spans="2:18" x14ac:dyDescent="0.35">
      <c r="B31" s="110" t="s">
        <v>303</v>
      </c>
      <c r="C31" s="4"/>
      <c r="D31" s="32">
        <f>$H10*1000/D30</f>
        <v>251.04602510460251</v>
      </c>
      <c r="E31" s="32"/>
      <c r="F31" s="32">
        <f>$H10*1000/F30</f>
        <v>230.76923076923077</v>
      </c>
      <c r="G31" s="32"/>
      <c r="H31" s="32">
        <f>$H10*1000/H30</f>
        <v>240</v>
      </c>
      <c r="I31" s="32"/>
      <c r="J31" s="32">
        <f>$H10*1000/J30</f>
        <v>262.00873362445412</v>
      </c>
      <c r="K31" s="32"/>
      <c r="L31" s="32">
        <f>$H10*1000/L30</f>
        <v>200.66889632107024</v>
      </c>
      <c r="M31" s="32"/>
      <c r="N31" s="139">
        <f>RawMaterialsBEV!F65</f>
        <v>269</v>
      </c>
      <c r="O31" s="32">
        <f>$H10*1000/O30</f>
        <v>269</v>
      </c>
      <c r="Q31">
        <v>160</v>
      </c>
    </row>
    <row r="32" spans="2:18" x14ac:dyDescent="0.35">
      <c r="B32" s="4"/>
      <c r="C32" s="4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</row>
    <row r="33" spans="2:19" x14ac:dyDescent="0.35">
      <c r="B33" s="4"/>
      <c r="C33" s="4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</row>
    <row r="34" spans="2:19" x14ac:dyDescent="0.35">
      <c r="B34" s="4" t="s">
        <v>323</v>
      </c>
      <c r="C34" s="4"/>
      <c r="E34" s="9"/>
      <c r="G34" s="9"/>
      <c r="I34" s="9"/>
      <c r="K34" s="9"/>
      <c r="M34" s="9"/>
      <c r="N34" s="9"/>
      <c r="O34" s="9"/>
    </row>
    <row r="36" spans="2:19" x14ac:dyDescent="0.35">
      <c r="B36" s="110" t="s">
        <v>314</v>
      </c>
      <c r="D36" s="9" t="s">
        <v>287</v>
      </c>
      <c r="E36" t="s">
        <v>15</v>
      </c>
      <c r="F36" s="9" t="s">
        <v>287</v>
      </c>
      <c r="G36" t="s">
        <v>15</v>
      </c>
      <c r="H36" s="9" t="s">
        <v>287</v>
      </c>
      <c r="I36" t="s">
        <v>15</v>
      </c>
      <c r="J36" s="9" t="s">
        <v>287</v>
      </c>
      <c r="K36" t="s">
        <v>15</v>
      </c>
      <c r="L36" s="9" t="s">
        <v>287</v>
      </c>
      <c r="M36" t="s">
        <v>15</v>
      </c>
      <c r="N36" t="s">
        <v>332</v>
      </c>
      <c r="O36" t="s">
        <v>266</v>
      </c>
      <c r="P36" s="9" t="s">
        <v>222</v>
      </c>
      <c r="Q36" t="s">
        <v>471</v>
      </c>
      <c r="R36" t="s">
        <v>462</v>
      </c>
    </row>
    <row r="37" spans="2:19" x14ac:dyDescent="0.35">
      <c r="B37" s="110" t="s">
        <v>455</v>
      </c>
      <c r="D37" s="9"/>
      <c r="F37" s="9"/>
      <c r="H37" s="9"/>
      <c r="J37" s="9"/>
      <c r="L37" s="9"/>
      <c r="P37" s="9"/>
      <c r="Q37" t="s">
        <v>471</v>
      </c>
      <c r="R37" t="s">
        <v>462</v>
      </c>
    </row>
    <row r="38" spans="2:19" x14ac:dyDescent="0.35">
      <c r="B38" s="110" t="s">
        <v>315</v>
      </c>
      <c r="D38" s="9" t="s">
        <v>287</v>
      </c>
      <c r="E38" t="s">
        <v>15</v>
      </c>
      <c r="F38" s="9" t="s">
        <v>287</v>
      </c>
      <c r="G38" t="s">
        <v>15</v>
      </c>
      <c r="H38" s="9" t="s">
        <v>287</v>
      </c>
      <c r="I38" t="s">
        <v>15</v>
      </c>
      <c r="J38" s="9" t="s">
        <v>287</v>
      </c>
      <c r="K38" t="s">
        <v>15</v>
      </c>
      <c r="L38" s="9" t="s">
        <v>287</v>
      </c>
      <c r="M38" t="s">
        <v>15</v>
      </c>
      <c r="N38" t="s">
        <v>332</v>
      </c>
      <c r="O38" t="s">
        <v>266</v>
      </c>
      <c r="P38" s="9" t="s">
        <v>222</v>
      </c>
      <c r="Q38" t="s">
        <v>471</v>
      </c>
      <c r="R38" s="9" t="s">
        <v>463</v>
      </c>
      <c r="S38" t="s">
        <v>464</v>
      </c>
    </row>
    <row r="39" spans="2:19" x14ac:dyDescent="0.35">
      <c r="B39" s="110" t="s">
        <v>316</v>
      </c>
      <c r="D39" s="9" t="s">
        <v>287</v>
      </c>
      <c r="E39" t="s">
        <v>15</v>
      </c>
      <c r="F39" s="9" t="s">
        <v>287</v>
      </c>
      <c r="G39" t="s">
        <v>15</v>
      </c>
      <c r="H39" s="9" t="s">
        <v>287</v>
      </c>
      <c r="I39" t="s">
        <v>15</v>
      </c>
      <c r="J39" s="9" t="s">
        <v>287</v>
      </c>
      <c r="K39" t="s">
        <v>15</v>
      </c>
      <c r="L39" s="9" t="s">
        <v>287</v>
      </c>
      <c r="M39" t="s">
        <v>15</v>
      </c>
      <c r="N39" t="s">
        <v>332</v>
      </c>
      <c r="O39" t="s">
        <v>266</v>
      </c>
      <c r="P39" s="9" t="s">
        <v>222</v>
      </c>
      <c r="Q39" t="s">
        <v>471</v>
      </c>
      <c r="R39" s="9" t="s">
        <v>463</v>
      </c>
      <c r="S39" t="s">
        <v>464</v>
      </c>
    </row>
    <row r="40" spans="2:19" x14ac:dyDescent="0.35">
      <c r="B40" s="110" t="s">
        <v>317</v>
      </c>
      <c r="D40" s="9" t="s">
        <v>287</v>
      </c>
      <c r="E40" t="s">
        <v>15</v>
      </c>
      <c r="F40" s="9" t="s">
        <v>287</v>
      </c>
      <c r="G40" t="s">
        <v>15</v>
      </c>
      <c r="H40" s="9" t="s">
        <v>287</v>
      </c>
      <c r="I40" t="s">
        <v>15</v>
      </c>
      <c r="J40" s="9" t="s">
        <v>287</v>
      </c>
      <c r="K40" t="s">
        <v>15</v>
      </c>
      <c r="L40" s="9" t="s">
        <v>287</v>
      </c>
      <c r="M40" t="s">
        <v>15</v>
      </c>
      <c r="N40" t="s">
        <v>332</v>
      </c>
      <c r="P40" s="138" t="s">
        <v>326</v>
      </c>
      <c r="Q40" t="s">
        <v>471</v>
      </c>
      <c r="R40" s="9" t="s">
        <v>463</v>
      </c>
      <c r="S40" t="s">
        <v>465</v>
      </c>
    </row>
    <row r="41" spans="2:19" x14ac:dyDescent="0.35">
      <c r="B41" s="110" t="str">
        <f>B23</f>
        <v>Graphite C, Li-ion</v>
      </c>
      <c r="D41" s="9" t="s">
        <v>287</v>
      </c>
      <c r="E41" t="s">
        <v>15</v>
      </c>
      <c r="F41" s="9" t="s">
        <v>287</v>
      </c>
      <c r="G41" t="s">
        <v>15</v>
      </c>
      <c r="H41" s="9" t="s">
        <v>287</v>
      </c>
      <c r="I41" t="s">
        <v>15</v>
      </c>
      <c r="J41" s="9" t="s">
        <v>287</v>
      </c>
      <c r="K41" t="s">
        <v>15</v>
      </c>
      <c r="L41" s="9" t="s">
        <v>287</v>
      </c>
      <c r="M41" t="s">
        <v>15</v>
      </c>
      <c r="N41" t="s">
        <v>332</v>
      </c>
      <c r="P41" t="s">
        <v>334</v>
      </c>
      <c r="Q41" t="s">
        <v>471</v>
      </c>
      <c r="R41" s="9" t="s">
        <v>463</v>
      </c>
      <c r="S41" t="s">
        <v>472</v>
      </c>
    </row>
    <row r="42" spans="2:19" x14ac:dyDescent="0.35">
      <c r="B42" s="110" t="s">
        <v>468</v>
      </c>
      <c r="D42" s="189" t="s">
        <v>15</v>
      </c>
      <c r="E42" s="190" t="s">
        <v>15</v>
      </c>
      <c r="F42" s="9" t="s">
        <v>15</v>
      </c>
      <c r="G42" t="s">
        <v>15</v>
      </c>
      <c r="H42" s="9" t="s">
        <v>15</v>
      </c>
      <c r="I42" t="s">
        <v>15</v>
      </c>
      <c r="J42" s="9" t="s">
        <v>15</v>
      </c>
      <c r="K42" t="s">
        <v>15</v>
      </c>
      <c r="L42" s="9" t="s">
        <v>15</v>
      </c>
      <c r="M42" t="s">
        <v>15</v>
      </c>
      <c r="N42" s="9" t="s">
        <v>15</v>
      </c>
      <c r="O42" t="s">
        <v>15</v>
      </c>
      <c r="P42" s="9" t="s">
        <v>15</v>
      </c>
      <c r="Q42" t="s">
        <v>471</v>
      </c>
      <c r="R42" s="9" t="s">
        <v>463</v>
      </c>
      <c r="S42" t="s">
        <v>473</v>
      </c>
    </row>
    <row r="43" spans="2:19" x14ac:dyDescent="0.35">
      <c r="B43" s="110" t="s">
        <v>318</v>
      </c>
      <c r="D43" s="9" t="s">
        <v>287</v>
      </c>
      <c r="E43" t="s">
        <v>15</v>
      </c>
      <c r="F43" s="9" t="s">
        <v>287</v>
      </c>
      <c r="G43" t="s">
        <v>15</v>
      </c>
      <c r="H43" s="9" t="s">
        <v>287</v>
      </c>
      <c r="I43" t="s">
        <v>15</v>
      </c>
      <c r="J43" s="9" t="s">
        <v>287</v>
      </c>
      <c r="K43" t="s">
        <v>15</v>
      </c>
      <c r="L43" s="9" t="s">
        <v>287</v>
      </c>
      <c r="M43" t="s">
        <v>15</v>
      </c>
      <c r="N43" t="s">
        <v>332</v>
      </c>
      <c r="P43" s="138" t="s">
        <v>327</v>
      </c>
      <c r="Q43" t="s">
        <v>471</v>
      </c>
      <c r="R43" s="9" t="s">
        <v>463</v>
      </c>
      <c r="S43" t="s">
        <v>464</v>
      </c>
    </row>
    <row r="44" spans="2:19" x14ac:dyDescent="0.35">
      <c r="B44" s="110" t="s">
        <v>319</v>
      </c>
      <c r="D44" s="9" t="s">
        <v>287</v>
      </c>
      <c r="E44" t="s">
        <v>15</v>
      </c>
      <c r="F44" s="9" t="s">
        <v>287</v>
      </c>
      <c r="G44" t="s">
        <v>15</v>
      </c>
      <c r="H44" s="9" t="s">
        <v>287</v>
      </c>
      <c r="I44" t="s">
        <v>15</v>
      </c>
      <c r="J44" s="9" t="s">
        <v>287</v>
      </c>
      <c r="K44" t="s">
        <v>15</v>
      </c>
      <c r="L44" s="9" t="s">
        <v>287</v>
      </c>
      <c r="M44" t="s">
        <v>15</v>
      </c>
      <c r="N44" t="s">
        <v>332</v>
      </c>
      <c r="P44" t="s">
        <v>335</v>
      </c>
      <c r="Q44" t="s">
        <v>471</v>
      </c>
      <c r="R44" s="9" t="s">
        <v>463</v>
      </c>
      <c r="S44" t="s">
        <v>470</v>
      </c>
    </row>
    <row r="45" spans="2:19" x14ac:dyDescent="0.35">
      <c r="B45" s="110" t="s">
        <v>320</v>
      </c>
      <c r="D45" s="9" t="s">
        <v>287</v>
      </c>
      <c r="E45" t="s">
        <v>15</v>
      </c>
      <c r="F45" s="9" t="s">
        <v>287</v>
      </c>
      <c r="G45" t="s">
        <v>15</v>
      </c>
      <c r="H45" s="9" t="s">
        <v>287</v>
      </c>
      <c r="I45" t="s">
        <v>15</v>
      </c>
      <c r="J45" s="9" t="s">
        <v>287</v>
      </c>
      <c r="K45" t="s">
        <v>15</v>
      </c>
      <c r="L45" s="9" t="s">
        <v>287</v>
      </c>
      <c r="M45" t="s">
        <v>15</v>
      </c>
      <c r="N45" t="s">
        <v>332</v>
      </c>
      <c r="P45" t="s">
        <v>336</v>
      </c>
      <c r="Q45" t="s">
        <v>471</v>
      </c>
      <c r="R45" s="9" t="s">
        <v>463</v>
      </c>
      <c r="S45" t="s">
        <v>470</v>
      </c>
    </row>
    <row r="46" spans="2:19" x14ac:dyDescent="0.35">
      <c r="B46" s="110" t="s">
        <v>321</v>
      </c>
      <c r="D46" s="9" t="s">
        <v>287</v>
      </c>
      <c r="E46" t="s">
        <v>15</v>
      </c>
      <c r="F46" s="9" t="s">
        <v>287</v>
      </c>
      <c r="G46" t="s">
        <v>15</v>
      </c>
      <c r="H46" s="9" t="s">
        <v>287</v>
      </c>
      <c r="I46" t="s">
        <v>15</v>
      </c>
      <c r="J46" s="9" t="s">
        <v>287</v>
      </c>
      <c r="K46" t="s">
        <v>15</v>
      </c>
      <c r="L46" s="9" t="s">
        <v>287</v>
      </c>
      <c r="M46" t="s">
        <v>15</v>
      </c>
      <c r="N46" t="s">
        <v>332</v>
      </c>
      <c r="P46" t="s">
        <v>337</v>
      </c>
      <c r="Q46" t="s">
        <v>471</v>
      </c>
      <c r="R46" t="s">
        <v>501</v>
      </c>
    </row>
    <row r="47" spans="2:19" x14ac:dyDescent="0.35">
      <c r="B47" s="110" t="str">
        <f>B29</f>
        <v>Plastics/other C,H,O, N, P, F</v>
      </c>
      <c r="D47" t="s">
        <v>324</v>
      </c>
      <c r="E47" t="s">
        <v>15</v>
      </c>
      <c r="F47" t="s">
        <v>324</v>
      </c>
      <c r="G47" t="s">
        <v>15</v>
      </c>
      <c r="H47" t="s">
        <v>324</v>
      </c>
      <c r="I47" t="s">
        <v>15</v>
      </c>
      <c r="J47" t="s">
        <v>324</v>
      </c>
      <c r="K47" t="s">
        <v>15</v>
      </c>
      <c r="L47" t="s">
        <v>324</v>
      </c>
      <c r="M47" t="s">
        <v>15</v>
      </c>
      <c r="N47" t="s">
        <v>332</v>
      </c>
      <c r="P47" t="s">
        <v>325</v>
      </c>
      <c r="Q47" t="s">
        <v>471</v>
      </c>
    </row>
    <row r="48" spans="2:19" x14ac:dyDescent="0.35">
      <c r="B48" s="110" t="s">
        <v>302</v>
      </c>
      <c r="N48" t="s">
        <v>332</v>
      </c>
      <c r="Q48" t="s">
        <v>471</v>
      </c>
    </row>
    <row r="49" spans="2:18" x14ac:dyDescent="0.35">
      <c r="B49" s="110" t="s">
        <v>303</v>
      </c>
      <c r="N49" t="s">
        <v>332</v>
      </c>
      <c r="Q49" s="9" t="s">
        <v>461</v>
      </c>
      <c r="R49" t="s">
        <v>15</v>
      </c>
    </row>
    <row r="51" spans="2:18" x14ac:dyDescent="0.35">
      <c r="B51" s="110" t="s">
        <v>480</v>
      </c>
      <c r="R51" s="9" t="s">
        <v>479</v>
      </c>
    </row>
    <row r="52" spans="2:18" x14ac:dyDescent="0.35">
      <c r="R52" t="s">
        <v>481</v>
      </c>
    </row>
    <row r="53" spans="2:18" x14ac:dyDescent="0.35">
      <c r="R53" t="s">
        <v>482</v>
      </c>
    </row>
    <row r="54" spans="2:18" x14ac:dyDescent="0.35">
      <c r="R54" s="9" t="s">
        <v>483</v>
      </c>
    </row>
    <row r="55" spans="2:18" x14ac:dyDescent="0.35">
      <c r="R55" t="s">
        <v>484</v>
      </c>
    </row>
    <row r="56" spans="2:18" x14ac:dyDescent="0.35">
      <c r="R56" s="9" t="s">
        <v>485</v>
      </c>
    </row>
  </sheetData>
  <hyperlinks>
    <hyperlink ref="D36" r:id="rId1" xr:uid="{7140252A-875F-40A3-A436-49F3A47AD657}"/>
    <hyperlink ref="D38" r:id="rId2" xr:uid="{8B9CC4B6-5C7F-4AF1-96F6-36CCAF6A5CB0}"/>
    <hyperlink ref="D39" r:id="rId3" xr:uid="{F974A62C-E2BD-4575-ADF6-4ED09E3988C4}"/>
    <hyperlink ref="D41" r:id="rId4" xr:uid="{EF07B332-5A64-4C57-8A3D-94E871298EEC}"/>
    <hyperlink ref="D44" r:id="rId5" xr:uid="{4023D258-2BA0-4E00-B3AF-019CE0985B04}"/>
    <hyperlink ref="D46" r:id="rId6" xr:uid="{1190E353-4294-4AAB-B5A2-29341605333B}"/>
    <hyperlink ref="D40" r:id="rId7" xr:uid="{A8B39350-B110-465A-8AD6-4DECAD433F54}"/>
    <hyperlink ref="D43" r:id="rId8" xr:uid="{0127ABA9-48C2-4C60-8BA6-7FAB69AC7BC0}"/>
    <hyperlink ref="D45" r:id="rId9" xr:uid="{A55273F4-4A54-4C41-A897-4E242490DE7C}"/>
    <hyperlink ref="F36" r:id="rId10" xr:uid="{A6E80C92-8401-4595-9AFE-71709341C28C}"/>
    <hyperlink ref="F38" r:id="rId11" xr:uid="{3ABB30DF-80A3-4BCB-BB6D-8BBD625CA754}"/>
    <hyperlink ref="F39" r:id="rId12" xr:uid="{58528A56-7C99-45E7-B8D3-4E5D65F43682}"/>
    <hyperlink ref="F41" r:id="rId13" xr:uid="{E697BF53-BD88-49FC-9D8D-65BB52E1EF6F}"/>
    <hyperlink ref="F44" r:id="rId14" xr:uid="{0F177F58-8415-4782-BBDE-A8DE69329017}"/>
    <hyperlink ref="F46" r:id="rId15" xr:uid="{107C52DB-FEFA-485D-B7F3-C16A5955DDEE}"/>
    <hyperlink ref="F40" r:id="rId16" xr:uid="{4E1286EB-4E6F-42E9-94FC-7FF6A84A6141}"/>
    <hyperlink ref="F43" r:id="rId17" xr:uid="{B573CB46-E0D4-4E10-8E0F-C2868DACDCBF}"/>
    <hyperlink ref="F45" r:id="rId18" xr:uid="{1AC8E92B-BFB8-4D19-87BD-84F7BCEC0DD4}"/>
    <hyperlink ref="H36" r:id="rId19" xr:uid="{B85BEB43-68E0-4DB6-9EC9-9A22D55645F9}"/>
    <hyperlink ref="H38" r:id="rId20" xr:uid="{7B752E3B-1908-4156-BB3F-3882F31B33E0}"/>
    <hyperlink ref="H39" r:id="rId21" xr:uid="{5D63C2ED-AA18-49E9-AAAC-E15D1CA3E602}"/>
    <hyperlink ref="H41" r:id="rId22" xr:uid="{B83FA6DC-CC52-45CC-BB18-F3836270CA82}"/>
    <hyperlink ref="H44" r:id="rId23" xr:uid="{E41BA0FA-4360-4F00-90D6-3C957E1BDE80}"/>
    <hyperlink ref="H46" r:id="rId24" xr:uid="{A3F82263-3FFD-4A6A-9C5A-A83F54408D10}"/>
    <hyperlink ref="H40" r:id="rId25" xr:uid="{3B56D4E1-A6C0-447A-AE87-BA057C6467C7}"/>
    <hyperlink ref="H43" r:id="rId26" xr:uid="{24807CB2-931A-40D2-98FC-6DF51234FBFE}"/>
    <hyperlink ref="H45" r:id="rId27" xr:uid="{434A6F8E-7780-4E84-A108-183B94E23BB4}"/>
    <hyperlink ref="J36" r:id="rId28" xr:uid="{9B3A9DCC-9B10-485C-9B37-F693BAD362D1}"/>
    <hyperlink ref="J38" r:id="rId29" xr:uid="{BCCEB220-504F-4D5F-B200-F9CD7D0780C7}"/>
    <hyperlink ref="J39" r:id="rId30" xr:uid="{5293FB84-A0A7-4B2D-A301-88DB85C77D4C}"/>
    <hyperlink ref="J41" r:id="rId31" xr:uid="{D305176A-C392-4293-B8A2-698CE1F64AF1}"/>
    <hyperlink ref="J44" r:id="rId32" xr:uid="{CEABDDEB-D6D4-4482-8490-FBE43A64AADF}"/>
    <hyperlink ref="J46" r:id="rId33" xr:uid="{B14B4C3B-75E4-4389-B951-E491AFEB6988}"/>
    <hyperlink ref="J40" r:id="rId34" xr:uid="{A4220AF7-E093-4A02-A15E-B7EFF096C007}"/>
    <hyperlink ref="J43" r:id="rId35" xr:uid="{9DE1235F-D65B-43C2-9013-9C4EC393944A}"/>
    <hyperlink ref="J45" r:id="rId36" xr:uid="{C172F384-B60F-454B-98EF-38FEFF667E2B}"/>
    <hyperlink ref="L36" r:id="rId37" xr:uid="{E55EEE6A-DE82-46B7-81B3-9F1AAF1C3334}"/>
    <hyperlink ref="L38" r:id="rId38" xr:uid="{5FA48C7B-4113-44C8-A0E9-1B1322969FD0}"/>
    <hyperlink ref="L39" r:id="rId39" xr:uid="{2064CBF6-14D9-4F7A-963F-BF3E5B9F2606}"/>
    <hyperlink ref="L41" r:id="rId40" xr:uid="{2DACE985-7D41-4B1F-B782-28C6D3FE738A}"/>
    <hyperlink ref="L44" r:id="rId41" xr:uid="{5F689562-6F8F-4305-8F05-88B5AFCDEC9C}"/>
    <hyperlink ref="L46" r:id="rId42" xr:uid="{18C2490B-9E9A-4A17-B8C4-8A8DB0BA1F6D}"/>
    <hyperlink ref="L40" r:id="rId43" xr:uid="{CB8EA5E6-DA11-4A26-9C83-489153F8E316}"/>
    <hyperlink ref="L43" r:id="rId44" xr:uid="{B1BDC7FB-64EC-4319-B05E-EC38F6F86CFE}"/>
    <hyperlink ref="L45" r:id="rId45" xr:uid="{F10FC0D9-C2F8-4965-82F9-E88FAE39B740}"/>
    <hyperlink ref="Q49" r:id="rId46" xr:uid="{BF455D1C-ECAD-407A-8380-E6889F3A4C87}"/>
    <hyperlink ref="R43" r:id="rId47" xr:uid="{0F6589AD-E3EE-4251-BBFE-F0952BBAC8EA}"/>
    <hyperlink ref="R40" r:id="rId48" xr:uid="{6BD6E3F6-DBE7-45E6-B88C-E65CCEDD1F21}"/>
    <hyperlink ref="R44" r:id="rId49" xr:uid="{CDE07D3E-FC53-4616-8ACE-F260C7FB2530}"/>
    <hyperlink ref="R38" r:id="rId50" xr:uid="{7C512E42-00F4-42E4-9167-824FAACA1A13}"/>
    <hyperlink ref="R39" r:id="rId51" xr:uid="{221A1271-A5EB-4DB9-BE85-C9F7E97E8E56}"/>
    <hyperlink ref="R45" r:id="rId52" xr:uid="{82A9419A-88F4-41ED-9C88-F6AB09D22510}"/>
    <hyperlink ref="R41" r:id="rId53" xr:uid="{FD6F5CAC-C8C5-4A6E-A856-8DFE0DF73AFD}"/>
    <hyperlink ref="R42" r:id="rId54" xr:uid="{CD9DA01D-1EC4-4625-9538-89B538E8EC6C}"/>
    <hyperlink ref="R51" r:id="rId55" xr:uid="{BBC8DC6D-1DEE-4277-A7B5-64171489BADA}"/>
    <hyperlink ref="R54" r:id="rId56" xr:uid="{FECB763D-D927-47D6-96FD-27085EC17C1B}"/>
    <hyperlink ref="R56" r:id="rId57" xr:uid="{453D3F07-C684-4B15-8115-ED65DE45336A}"/>
  </hyperlinks>
  <pageMargins left="0.7" right="0.7" top="0.75" bottom="0.75" header="0.3" footer="0.3"/>
  <pageSetup orientation="portrait" verticalDpi="0" r:id="rId5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0"/>
  <sheetViews>
    <sheetView workbookViewId="0">
      <selection activeCell="H14" sqref="H14"/>
    </sheetView>
  </sheetViews>
  <sheetFormatPr defaultRowHeight="14.5" x14ac:dyDescent="0.35"/>
  <cols>
    <col min="2" max="2" width="23.6328125" customWidth="1"/>
    <col min="3" max="3" width="24.08984375" customWidth="1"/>
    <col min="4" max="4" width="25.08984375" customWidth="1"/>
    <col min="5" max="5" width="23.54296875" customWidth="1"/>
    <col min="6" max="6" width="25.08984375" customWidth="1"/>
    <col min="7" max="7" width="25.6328125" customWidth="1"/>
  </cols>
  <sheetData>
    <row r="1" spans="1:9" ht="28.5" x14ac:dyDescent="0.65">
      <c r="A1" s="2" t="str">
        <f>RawMaterialsBEV!A1</f>
        <v>Solutions to cobalt supply chain problems for transitioning to a BEVs only future #21</v>
      </c>
    </row>
    <row r="3" spans="1:9" ht="15.5" x14ac:dyDescent="0.35">
      <c r="A3" s="1" t="str">
        <f>RawMaterialsBEV!A3</f>
        <v>Proprietary. © H. Mathiesen. This material can be used by others free of charge provided that the author H. Mathiesen is attributed and a clickable link is made visible to the location of used material on www.hmexperience.dk</v>
      </c>
    </row>
    <row r="4" spans="1:9" ht="15.5" x14ac:dyDescent="0.35">
      <c r="A4" s="1" t="str">
        <f>RawMaterialsBEV!A4</f>
        <v>Sources to all information used in this spreadsheet can also be found in associated PowerPoint presentation located also at www.hmexperience.dk</v>
      </c>
    </row>
    <row r="6" spans="1:9" ht="21" x14ac:dyDescent="0.5">
      <c r="B6" s="11" t="s">
        <v>502</v>
      </c>
    </row>
    <row r="7" spans="1:9" ht="7.5" customHeight="1" thickBot="1" x14ac:dyDescent="0.4"/>
    <row r="8" spans="1:9" ht="15" thickTop="1" x14ac:dyDescent="0.35">
      <c r="B8" s="53" t="s">
        <v>65</v>
      </c>
      <c r="C8" s="42" t="s">
        <v>68</v>
      </c>
      <c r="D8" s="42"/>
      <c r="E8" s="43" t="s">
        <v>67</v>
      </c>
      <c r="F8" s="44"/>
    </row>
    <row r="9" spans="1:9" x14ac:dyDescent="0.35">
      <c r="B9" s="54" t="s">
        <v>66</v>
      </c>
      <c r="C9" s="4" t="s">
        <v>69</v>
      </c>
      <c r="D9" s="4" t="s">
        <v>70</v>
      </c>
      <c r="E9" s="4" t="s">
        <v>69</v>
      </c>
      <c r="F9" s="45" t="s">
        <v>70</v>
      </c>
    </row>
    <row r="10" spans="1:9" x14ac:dyDescent="0.35">
      <c r="B10" s="55"/>
      <c r="F10" s="21"/>
    </row>
    <row r="11" spans="1:9" x14ac:dyDescent="0.35">
      <c r="B11" s="54" t="s">
        <v>75</v>
      </c>
      <c r="C11" s="61">
        <v>23</v>
      </c>
      <c r="D11" s="61">
        <v>3</v>
      </c>
      <c r="E11" s="61">
        <v>23</v>
      </c>
      <c r="F11" s="62">
        <v>3</v>
      </c>
    </row>
    <row r="12" spans="1:9" x14ac:dyDescent="0.35">
      <c r="B12" s="54" t="s">
        <v>71</v>
      </c>
      <c r="C12" s="61" t="s">
        <v>78</v>
      </c>
      <c r="D12" s="61" t="s">
        <v>79</v>
      </c>
      <c r="E12" s="61" t="s">
        <v>78</v>
      </c>
      <c r="F12" s="62" t="s">
        <v>79</v>
      </c>
      <c r="H12">
        <v>900</v>
      </c>
      <c r="I12" s="46" t="s">
        <v>85</v>
      </c>
    </row>
    <row r="13" spans="1:9" x14ac:dyDescent="0.35">
      <c r="B13" s="54" t="s">
        <v>76</v>
      </c>
      <c r="C13" s="46">
        <v>25</v>
      </c>
      <c r="D13" s="57">
        <f>C13*(1-H15)</f>
        <v>11.111111111111111</v>
      </c>
      <c r="E13" s="46">
        <v>25</v>
      </c>
      <c r="F13" s="56">
        <f>D13</f>
        <v>11.111111111111111</v>
      </c>
      <c r="H13">
        <v>400</v>
      </c>
      <c r="I13" t="s">
        <v>85</v>
      </c>
    </row>
    <row r="14" spans="1:9" x14ac:dyDescent="0.35">
      <c r="B14" s="54" t="s">
        <v>72</v>
      </c>
      <c r="C14" s="46" t="s">
        <v>83</v>
      </c>
      <c r="D14" s="46" t="s">
        <v>80</v>
      </c>
      <c r="E14" s="46" t="s">
        <v>83</v>
      </c>
      <c r="F14" s="47" t="s">
        <v>80</v>
      </c>
      <c r="H14" s="60" t="s">
        <v>503</v>
      </c>
    </row>
    <row r="15" spans="1:9" x14ac:dyDescent="0.35">
      <c r="B15" s="54" t="s">
        <v>81</v>
      </c>
      <c r="C15" s="61" t="s">
        <v>15</v>
      </c>
      <c r="D15" s="61" t="s">
        <v>15</v>
      </c>
      <c r="E15" s="61">
        <v>40</v>
      </c>
      <c r="F15" s="63">
        <f>D13</f>
        <v>11.111111111111111</v>
      </c>
      <c r="H15" s="8">
        <f>1-H13/H12</f>
        <v>0.55555555555555558</v>
      </c>
    </row>
    <row r="16" spans="1:9" x14ac:dyDescent="0.35">
      <c r="B16" s="54" t="s">
        <v>73</v>
      </c>
      <c r="C16" s="61" t="s">
        <v>15</v>
      </c>
      <c r="D16" s="61" t="s">
        <v>15</v>
      </c>
      <c r="E16" s="61" t="s">
        <v>84</v>
      </c>
      <c r="F16" s="62" t="s">
        <v>80</v>
      </c>
    </row>
    <row r="17" spans="2:6" x14ac:dyDescent="0.35">
      <c r="B17" s="54" t="s">
        <v>82</v>
      </c>
      <c r="C17" s="46">
        <v>42</v>
      </c>
      <c r="D17" s="46">
        <v>42</v>
      </c>
      <c r="E17" s="46">
        <v>42</v>
      </c>
      <c r="F17" s="47">
        <v>42</v>
      </c>
    </row>
    <row r="18" spans="2:6" x14ac:dyDescent="0.35">
      <c r="B18" s="54" t="s">
        <v>77</v>
      </c>
      <c r="C18" s="48">
        <f>C11+C13+C17</f>
        <v>90</v>
      </c>
      <c r="D18" s="58">
        <f>D11+D13+D17</f>
        <v>56.111111111111114</v>
      </c>
      <c r="E18" s="48">
        <f>E11+E13+E15+E17</f>
        <v>130</v>
      </c>
      <c r="F18" s="59">
        <f>F11+F13+F15+F17</f>
        <v>67.222222222222229</v>
      </c>
    </row>
    <row r="19" spans="2:6" ht="15" thickBot="1" x14ac:dyDescent="0.4">
      <c r="B19" s="64" t="s">
        <v>74</v>
      </c>
      <c r="C19" s="49"/>
      <c r="D19" s="50">
        <f>(C18-D18)/C18</f>
        <v>0.37654320987654316</v>
      </c>
      <c r="E19" s="51"/>
      <c r="F19" s="52">
        <f>(E18-F18)/E18</f>
        <v>0.48290598290598286</v>
      </c>
    </row>
    <row r="20" spans="2:6" ht="15" thickTop="1" x14ac:dyDescent="0.35"/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BD848-222B-4B11-ADBF-B4C580882985}">
  <dimension ref="A1:E22"/>
  <sheetViews>
    <sheetView workbookViewId="0">
      <selection activeCell="A2" sqref="A2"/>
    </sheetView>
  </sheetViews>
  <sheetFormatPr defaultRowHeight="14.5" x14ac:dyDescent="0.35"/>
  <cols>
    <col min="3" max="3" width="17.453125" customWidth="1"/>
    <col min="4" max="4" width="16.08984375" customWidth="1"/>
    <col min="5" max="5" width="11.08984375" customWidth="1"/>
  </cols>
  <sheetData>
    <row r="1" spans="1:5" ht="28.5" x14ac:dyDescent="0.65">
      <c r="A1" s="2" t="str">
        <f>RawMaterialsBEV!A1</f>
        <v>Solutions to cobalt supply chain problems for transitioning to a BEVs only future #21</v>
      </c>
    </row>
    <row r="3" spans="1:5" ht="15.5" x14ac:dyDescent="0.35">
      <c r="A3" s="1" t="str">
        <f>RawMaterialsBEV!A3</f>
        <v>Proprietary. © H. Mathiesen. This material can be used by others free of charge provided that the author H. Mathiesen is attributed and a clickable link is made visible to the location of used material on www.hmexperience.dk</v>
      </c>
    </row>
    <row r="4" spans="1:5" ht="15.5" x14ac:dyDescent="0.35">
      <c r="A4" s="1" t="str">
        <f>RawMaterialsBEV!A4</f>
        <v>Sources to all information used in this spreadsheet can also be found in associated PowerPoint presentation located also at www.hmexperience.dk</v>
      </c>
    </row>
    <row r="7" spans="1:5" ht="15.5" x14ac:dyDescent="0.35">
      <c r="B7" s="112" t="s">
        <v>131</v>
      </c>
      <c r="C7" s="4"/>
      <c r="D7" s="4"/>
    </row>
    <row r="8" spans="1:5" ht="5" customHeight="1" x14ac:dyDescent="0.35">
      <c r="B8" s="4"/>
      <c r="C8" s="4"/>
      <c r="D8" s="4"/>
    </row>
    <row r="9" spans="1:5" x14ac:dyDescent="0.35">
      <c r="B9" s="66" t="s">
        <v>92</v>
      </c>
      <c r="C9" s="66" t="s">
        <v>93</v>
      </c>
      <c r="D9" s="66" t="s">
        <v>94</v>
      </c>
      <c r="E9" s="66" t="s">
        <v>95</v>
      </c>
    </row>
    <row r="11" spans="1:5" x14ac:dyDescent="0.35">
      <c r="B11" s="70">
        <v>2016</v>
      </c>
      <c r="C11" s="71">
        <v>38000</v>
      </c>
      <c r="D11" s="72"/>
      <c r="E11" s="72"/>
    </row>
    <row r="12" spans="1:5" x14ac:dyDescent="0.35">
      <c r="B12" s="70">
        <v>2022</v>
      </c>
      <c r="C12" s="71">
        <v>130000</v>
      </c>
      <c r="D12" s="73">
        <f>((C12/C11)^(1/(B12-B11)))-1</f>
        <v>0.22751448593776358</v>
      </c>
      <c r="E12" s="75">
        <v>1</v>
      </c>
    </row>
    <row r="13" spans="1:5" x14ac:dyDescent="0.35">
      <c r="B13" s="67">
        <v>2023</v>
      </c>
      <c r="C13" s="68">
        <f>C12*(1+D13)</f>
        <v>163800</v>
      </c>
      <c r="D13" s="69">
        <v>0.26</v>
      </c>
      <c r="E13" s="74">
        <f>C13/C$12</f>
        <v>1.26</v>
      </c>
    </row>
    <row r="14" spans="1:5" x14ac:dyDescent="0.35">
      <c r="B14" s="67">
        <v>2024</v>
      </c>
      <c r="C14" s="68">
        <f>C13*(1+D14)</f>
        <v>206388</v>
      </c>
      <c r="D14" s="69">
        <f>D13</f>
        <v>0.26</v>
      </c>
      <c r="E14" s="74">
        <f t="shared" ref="E14:E22" si="0">C14/C$12</f>
        <v>1.5875999999999999</v>
      </c>
    </row>
    <row r="15" spans="1:5" x14ac:dyDescent="0.35">
      <c r="B15" s="67">
        <v>2025</v>
      </c>
      <c r="C15" s="68">
        <f t="shared" ref="C15:C22" si="1">C14*(1+D15)</f>
        <v>260048.88</v>
      </c>
      <c r="D15" s="69">
        <f t="shared" ref="D15:D22" si="2">D14</f>
        <v>0.26</v>
      </c>
      <c r="E15" s="74">
        <f t="shared" si="0"/>
        <v>2.0003760000000002</v>
      </c>
    </row>
    <row r="16" spans="1:5" x14ac:dyDescent="0.35">
      <c r="B16" s="67">
        <v>2026</v>
      </c>
      <c r="C16" s="68">
        <f t="shared" si="1"/>
        <v>327661.58880000003</v>
      </c>
      <c r="D16" s="69">
        <f t="shared" si="2"/>
        <v>0.26</v>
      </c>
      <c r="E16" s="74">
        <f t="shared" si="0"/>
        <v>2.5204737600000002</v>
      </c>
    </row>
    <row r="17" spans="2:5" x14ac:dyDescent="0.35">
      <c r="B17" s="67">
        <v>2027</v>
      </c>
      <c r="C17" s="68">
        <f t="shared" si="1"/>
        <v>412853.60188800003</v>
      </c>
      <c r="D17" s="69">
        <f t="shared" si="2"/>
        <v>0.26</v>
      </c>
      <c r="E17" s="74">
        <f t="shared" si="0"/>
        <v>3.1757969376000004</v>
      </c>
    </row>
    <row r="18" spans="2:5" x14ac:dyDescent="0.35">
      <c r="B18" s="67">
        <v>2028</v>
      </c>
      <c r="C18" s="68">
        <f t="shared" si="1"/>
        <v>520195.53837888007</v>
      </c>
      <c r="D18" s="69">
        <f t="shared" si="2"/>
        <v>0.26</v>
      </c>
      <c r="E18" s="74">
        <f t="shared" si="0"/>
        <v>4.0015041413760004</v>
      </c>
    </row>
    <row r="19" spans="2:5" x14ac:dyDescent="0.35">
      <c r="B19" s="67">
        <v>2029</v>
      </c>
      <c r="C19" s="68">
        <f t="shared" si="1"/>
        <v>655446.37835738889</v>
      </c>
      <c r="D19" s="69">
        <f t="shared" si="2"/>
        <v>0.26</v>
      </c>
      <c r="E19" s="74">
        <f t="shared" si="0"/>
        <v>5.0418952181337611</v>
      </c>
    </row>
    <row r="20" spans="2:5" x14ac:dyDescent="0.35">
      <c r="B20" s="67">
        <v>2030</v>
      </c>
      <c r="C20" s="68">
        <f t="shared" si="1"/>
        <v>825862.43673030997</v>
      </c>
      <c r="D20" s="69">
        <f t="shared" si="2"/>
        <v>0.26</v>
      </c>
      <c r="E20" s="74">
        <f t="shared" si="0"/>
        <v>6.3527879748485381</v>
      </c>
    </row>
    <row r="21" spans="2:5" x14ac:dyDescent="0.35">
      <c r="B21" s="67">
        <v>2031</v>
      </c>
      <c r="C21" s="68">
        <f t="shared" si="1"/>
        <v>1040586.6702801905</v>
      </c>
      <c r="D21" s="69">
        <f t="shared" si="2"/>
        <v>0.26</v>
      </c>
      <c r="E21" s="74">
        <f t="shared" si="0"/>
        <v>8.0045128483091581</v>
      </c>
    </row>
    <row r="22" spans="2:5" x14ac:dyDescent="0.35">
      <c r="B22" s="67">
        <v>2032</v>
      </c>
      <c r="C22" s="68">
        <f t="shared" si="1"/>
        <v>1311139.20455304</v>
      </c>
      <c r="D22" s="69">
        <f t="shared" si="2"/>
        <v>0.26</v>
      </c>
      <c r="E22" s="74">
        <f t="shared" si="0"/>
        <v>10.085686188869538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CBBA0-5960-4C58-81FB-2D2DE19F0E28}">
  <dimension ref="A1:I37"/>
  <sheetViews>
    <sheetView workbookViewId="0">
      <selection activeCell="C5" sqref="C5"/>
    </sheetView>
  </sheetViews>
  <sheetFormatPr defaultRowHeight="14.5" x14ac:dyDescent="0.35"/>
  <cols>
    <col min="3" max="3" width="12.90625" customWidth="1"/>
    <col min="4" max="4" width="9.81640625" customWidth="1"/>
    <col min="5" max="5" width="9.1796875" customWidth="1"/>
    <col min="6" max="6" width="10.36328125" customWidth="1"/>
    <col min="7" max="7" width="8.90625" customWidth="1"/>
    <col min="8" max="8" width="10.6328125" customWidth="1"/>
  </cols>
  <sheetData>
    <row r="1" spans="1:9" ht="28.5" x14ac:dyDescent="0.65">
      <c r="A1" s="2" t="str">
        <f>RawMaterialsBEV!A1</f>
        <v>Solutions to cobalt supply chain problems for transitioning to a BEVs only future #21</v>
      </c>
    </row>
    <row r="3" spans="1:9" ht="15.5" x14ac:dyDescent="0.35">
      <c r="A3" s="1" t="str">
        <f>RawMaterialsBEV!A3</f>
        <v>Proprietary. © H. Mathiesen. This material can be used by others free of charge provided that the author H. Mathiesen is attributed and a clickable link is made visible to the location of used material on www.hmexperience.dk</v>
      </c>
    </row>
    <row r="4" spans="1:9" ht="15.5" x14ac:dyDescent="0.35">
      <c r="A4" s="1" t="str">
        <f>RawMaterialsBEV!A4</f>
        <v>Sources to all information used in this spreadsheet can also be found in associated PowerPoint presentation located also at www.hmexperience.dk</v>
      </c>
    </row>
    <row r="7" spans="1:9" ht="18.5" x14ac:dyDescent="0.45">
      <c r="C7" s="77" t="s">
        <v>122</v>
      </c>
    </row>
    <row r="8" spans="1:9" ht="6" customHeight="1" x14ac:dyDescent="0.35">
      <c r="C8" s="4"/>
    </row>
    <row r="9" spans="1:9" x14ac:dyDescent="0.35">
      <c r="C9" s="66" t="s">
        <v>123</v>
      </c>
      <c r="D9" s="66" t="s">
        <v>96</v>
      </c>
      <c r="E9" s="66" t="s">
        <v>125</v>
      </c>
      <c r="F9" s="66" t="s">
        <v>126</v>
      </c>
      <c r="G9" s="66" t="s">
        <v>125</v>
      </c>
      <c r="H9" s="66" t="s">
        <v>124</v>
      </c>
      <c r="I9" s="66" t="s">
        <v>125</v>
      </c>
    </row>
    <row r="10" spans="1:9" x14ac:dyDescent="0.35">
      <c r="C10" s="4"/>
    </row>
    <row r="11" spans="1:9" x14ac:dyDescent="0.35">
      <c r="C11" s="76" t="s">
        <v>97</v>
      </c>
      <c r="D11" s="5">
        <v>6200</v>
      </c>
      <c r="E11" s="8">
        <f>D11/D$35</f>
        <v>7.4635849283736608E-2</v>
      </c>
      <c r="F11" s="5">
        <v>1900000</v>
      </c>
      <c r="G11" s="8">
        <f>F11/F$35</f>
        <v>7.644337155501911E-2</v>
      </c>
      <c r="H11" s="5">
        <v>19300000</v>
      </c>
      <c r="I11" s="8">
        <f>H11/H$35</f>
        <v>0.21113663712941691</v>
      </c>
    </row>
    <row r="12" spans="1:9" x14ac:dyDescent="0.35">
      <c r="C12" s="76" t="s">
        <v>98</v>
      </c>
      <c r="D12" s="5">
        <v>40000</v>
      </c>
      <c r="E12" s="8">
        <f t="shared" ref="E12:E35" si="0">D12/D$35</f>
        <v>0.48152160828217166</v>
      </c>
      <c r="F12" s="5">
        <v>4700000</v>
      </c>
      <c r="G12" s="8">
        <f t="shared" ref="G12" si="1">F12/F$35</f>
        <v>0.18909676121504729</v>
      </c>
      <c r="H12" s="5">
        <v>6400000</v>
      </c>
      <c r="I12" s="8">
        <f t="shared" ref="I12:I34" si="2">H12/H$35</f>
        <v>7.0014221638770371E-2</v>
      </c>
    </row>
    <row r="13" spans="1:9" x14ac:dyDescent="0.35">
      <c r="C13" s="76" t="s">
        <v>99</v>
      </c>
      <c r="D13" t="s">
        <v>15</v>
      </c>
      <c r="E13" t="s">
        <v>15</v>
      </c>
      <c r="F13" t="s">
        <v>15</v>
      </c>
      <c r="G13" t="s">
        <v>15</v>
      </c>
      <c r="H13" s="5">
        <v>50000</v>
      </c>
      <c r="I13" s="8">
        <f t="shared" si="2"/>
        <v>5.4698610655289353E-4</v>
      </c>
    </row>
    <row r="14" spans="1:9" x14ac:dyDescent="0.35">
      <c r="C14" s="76" t="s">
        <v>100</v>
      </c>
      <c r="D14" s="38" t="s">
        <v>15</v>
      </c>
      <c r="E14" s="38" t="s">
        <v>15</v>
      </c>
      <c r="F14" s="38" t="s">
        <v>15</v>
      </c>
      <c r="G14" s="38" t="s">
        <v>15</v>
      </c>
      <c r="H14" s="37">
        <v>21000000</v>
      </c>
      <c r="I14" s="81">
        <f t="shared" si="2"/>
        <v>0.22973416475221528</v>
      </c>
    </row>
    <row r="15" spans="1:9" x14ac:dyDescent="0.35">
      <c r="C15" s="76" t="s">
        <v>101</v>
      </c>
      <c r="D15" s="5">
        <v>1900</v>
      </c>
      <c r="E15" s="8">
        <f t="shared" si="0"/>
        <v>2.2872276393403154E-2</v>
      </c>
      <c r="F15" s="5">
        <v>95000</v>
      </c>
      <c r="G15" s="8">
        <f t="shared" ref="G15" si="3">F15/F$35</f>
        <v>3.8221685777509555E-3</v>
      </c>
      <c r="H15" s="5">
        <v>470000</v>
      </c>
      <c r="I15" s="8">
        <f t="shared" si="2"/>
        <v>5.1416694015971997E-3</v>
      </c>
    </row>
    <row r="16" spans="1:9" x14ac:dyDescent="0.35">
      <c r="C16" s="76" t="s">
        <v>102</v>
      </c>
      <c r="D16">
        <v>0</v>
      </c>
      <c r="E16" s="8">
        <f t="shared" si="0"/>
        <v>0</v>
      </c>
      <c r="F16" s="5">
        <v>530000</v>
      </c>
      <c r="G16" s="8">
        <f t="shared" ref="G16" si="4">F16/F$35</f>
        <v>2.132367732850533E-2</v>
      </c>
      <c r="H16" s="5">
        <v>2900000</v>
      </c>
      <c r="I16" s="8">
        <f t="shared" si="2"/>
        <v>3.1725194180067827E-2</v>
      </c>
    </row>
    <row r="17" spans="3:9" x14ac:dyDescent="0.35">
      <c r="C17" s="76" t="s">
        <v>103</v>
      </c>
      <c r="D17" s="5">
        <v>18000</v>
      </c>
      <c r="E17" s="8">
        <f t="shared" si="0"/>
        <v>0.21668472372697725</v>
      </c>
      <c r="F17" s="5">
        <v>9200000</v>
      </c>
      <c r="G17" s="8">
        <f t="shared" ref="G17" si="5">F17/F$35</f>
        <v>0.37014685174009254</v>
      </c>
      <c r="H17" s="5">
        <v>9600000</v>
      </c>
      <c r="I17" s="8">
        <f t="shared" si="2"/>
        <v>0.10502133245815556</v>
      </c>
    </row>
    <row r="18" spans="3:9" x14ac:dyDescent="0.35">
      <c r="C18" s="76" t="s">
        <v>104</v>
      </c>
      <c r="D18" s="37">
        <v>14000</v>
      </c>
      <c r="E18" s="81">
        <f t="shared" si="0"/>
        <v>0.16853256289876009</v>
      </c>
      <c r="F18" s="37">
        <v>1500000</v>
      </c>
      <c r="G18" s="81">
        <f t="shared" ref="G18" si="6">F18/F$35</f>
        <v>6.0350030175015085E-2</v>
      </c>
      <c r="H18" s="37">
        <v>5100000</v>
      </c>
      <c r="I18" s="81">
        <f t="shared" si="2"/>
        <v>5.5792582868395141E-2</v>
      </c>
    </row>
    <row r="19" spans="3:9" x14ac:dyDescent="0.35">
      <c r="C19" s="76" t="s">
        <v>105</v>
      </c>
      <c r="D19" t="s">
        <v>15</v>
      </c>
      <c r="E19" t="s">
        <v>15</v>
      </c>
      <c r="G19" t="s">
        <v>15</v>
      </c>
      <c r="H19" s="5">
        <v>1300000</v>
      </c>
      <c r="I19" s="8">
        <f t="shared" si="2"/>
        <v>1.4221638770375232E-2</v>
      </c>
    </row>
    <row r="20" spans="3:9" x14ac:dyDescent="0.35">
      <c r="C20" s="76" t="s">
        <v>106</v>
      </c>
      <c r="D20" t="s">
        <v>15</v>
      </c>
      <c r="E20" t="s">
        <v>15</v>
      </c>
      <c r="F20" t="s">
        <v>15</v>
      </c>
      <c r="G20" t="s">
        <v>15</v>
      </c>
      <c r="H20" s="5">
        <v>3000000</v>
      </c>
      <c r="I20" s="8">
        <f t="shared" si="2"/>
        <v>3.2819166393173616E-2</v>
      </c>
    </row>
    <row r="21" spans="3:9" x14ac:dyDescent="0.35">
      <c r="C21" s="76" t="s">
        <v>107</v>
      </c>
      <c r="D21" t="s">
        <v>15</v>
      </c>
      <c r="E21" t="s">
        <v>15</v>
      </c>
      <c r="F21" t="s">
        <v>15</v>
      </c>
      <c r="G21" t="s">
        <v>15</v>
      </c>
      <c r="H21" s="5">
        <v>50000</v>
      </c>
      <c r="I21" s="8">
        <f t="shared" si="2"/>
        <v>5.4698610655289353E-4</v>
      </c>
    </row>
    <row r="22" spans="3:9" x14ac:dyDescent="0.35">
      <c r="C22" s="76" t="s">
        <v>108</v>
      </c>
      <c r="D22" t="s">
        <v>15</v>
      </c>
      <c r="E22" t="s">
        <v>15</v>
      </c>
      <c r="F22" t="s">
        <v>15</v>
      </c>
      <c r="G22" t="s">
        <v>15</v>
      </c>
      <c r="H22" s="5">
        <v>2700000</v>
      </c>
      <c r="I22" s="8">
        <f t="shared" si="2"/>
        <v>2.9537249753856253E-2</v>
      </c>
    </row>
    <row r="23" spans="3:9" x14ac:dyDescent="0.35">
      <c r="C23" s="76" t="s">
        <v>109</v>
      </c>
      <c r="D23" t="s">
        <v>15</v>
      </c>
      <c r="E23" t="s">
        <v>15</v>
      </c>
      <c r="F23" t="s">
        <v>15</v>
      </c>
      <c r="G23" t="s">
        <v>15</v>
      </c>
      <c r="H23" s="5">
        <v>90000</v>
      </c>
      <c r="I23" s="8">
        <f t="shared" si="2"/>
        <v>9.8457499179520846E-4</v>
      </c>
    </row>
    <row r="24" spans="3:9" x14ac:dyDescent="0.35">
      <c r="C24" s="76" t="s">
        <v>110</v>
      </c>
      <c r="D24" t="s">
        <v>15</v>
      </c>
      <c r="E24" t="s">
        <v>15</v>
      </c>
      <c r="F24" s="5">
        <v>5900000</v>
      </c>
      <c r="G24" s="8">
        <f t="shared" ref="G24" si="7">F24/F$35</f>
        <v>0.23737678535505935</v>
      </c>
      <c r="H24" s="5">
        <v>5900000</v>
      </c>
      <c r="I24" s="8">
        <f t="shared" si="2"/>
        <v>6.4544360573241435E-2</v>
      </c>
    </row>
    <row r="25" spans="3:9" x14ac:dyDescent="0.35">
      <c r="C25" s="76" t="s">
        <v>111</v>
      </c>
      <c r="D25" t="s">
        <v>15</v>
      </c>
      <c r="E25" t="s">
        <v>15</v>
      </c>
      <c r="F25" t="s">
        <v>15</v>
      </c>
      <c r="G25" t="s">
        <v>15</v>
      </c>
      <c r="H25" s="5">
        <v>50000</v>
      </c>
      <c r="I25" s="8">
        <f t="shared" si="2"/>
        <v>5.4698610655289353E-4</v>
      </c>
    </row>
    <row r="26" spans="3:9" x14ac:dyDescent="0.35">
      <c r="C26" s="76" t="s">
        <v>112</v>
      </c>
      <c r="D26" t="s">
        <v>15</v>
      </c>
      <c r="E26" t="s">
        <v>15</v>
      </c>
      <c r="F26" t="s">
        <v>15</v>
      </c>
      <c r="G26" t="s">
        <v>15</v>
      </c>
      <c r="H26" s="5">
        <v>700000</v>
      </c>
      <c r="I26" s="8">
        <f t="shared" si="2"/>
        <v>7.6578054917405096E-3</v>
      </c>
    </row>
    <row r="27" spans="3:9" x14ac:dyDescent="0.35">
      <c r="C27" s="76" t="s">
        <v>113</v>
      </c>
      <c r="D27" t="s">
        <v>15</v>
      </c>
      <c r="E27" t="s">
        <v>15</v>
      </c>
      <c r="F27" t="s">
        <v>15</v>
      </c>
      <c r="G27" t="s">
        <v>15</v>
      </c>
      <c r="H27" s="5">
        <v>1700000</v>
      </c>
      <c r="I27" s="8">
        <f t="shared" si="2"/>
        <v>1.8597527622798381E-2</v>
      </c>
    </row>
    <row r="28" spans="3:9" x14ac:dyDescent="0.35">
      <c r="C28" s="76" t="s">
        <v>114</v>
      </c>
      <c r="D28" t="s">
        <v>15</v>
      </c>
      <c r="E28" t="s">
        <v>15</v>
      </c>
      <c r="F28" t="s">
        <v>15</v>
      </c>
      <c r="G28" t="s">
        <v>15</v>
      </c>
      <c r="H28" s="5">
        <v>50000</v>
      </c>
      <c r="I28" s="8">
        <f t="shared" si="2"/>
        <v>5.4698610655289353E-4</v>
      </c>
    </row>
    <row r="29" spans="3:9" x14ac:dyDescent="0.35">
      <c r="C29" s="76" t="s">
        <v>115</v>
      </c>
      <c r="D29" t="s">
        <v>15</v>
      </c>
      <c r="E29" t="s">
        <v>15</v>
      </c>
      <c r="F29" t="s">
        <v>15</v>
      </c>
      <c r="G29" t="s">
        <v>15</v>
      </c>
      <c r="H29" s="5">
        <v>880000</v>
      </c>
      <c r="I29" s="8">
        <f t="shared" si="2"/>
        <v>9.6269554753309269E-3</v>
      </c>
    </row>
    <row r="30" spans="3:9" x14ac:dyDescent="0.35">
      <c r="C30" s="76" t="s">
        <v>116</v>
      </c>
      <c r="D30">
        <v>900</v>
      </c>
      <c r="E30" s="8">
        <f t="shared" si="0"/>
        <v>1.0834236186348862E-2</v>
      </c>
      <c r="F30" s="5">
        <v>60000</v>
      </c>
      <c r="G30" s="8">
        <f t="shared" ref="G30" si="8">F30/F$35</f>
        <v>2.4140012070006035E-3</v>
      </c>
      <c r="H30" s="5">
        <v>270000</v>
      </c>
      <c r="I30" s="8">
        <f t="shared" si="2"/>
        <v>2.9537249753856252E-3</v>
      </c>
    </row>
    <row r="31" spans="3:9" x14ac:dyDescent="0.35">
      <c r="C31" s="76" t="s">
        <v>117</v>
      </c>
      <c r="D31" t="s">
        <v>15</v>
      </c>
      <c r="E31" t="s">
        <v>15</v>
      </c>
      <c r="F31" t="s">
        <v>15</v>
      </c>
      <c r="G31" t="s">
        <v>15</v>
      </c>
      <c r="H31" s="5">
        <v>1200000</v>
      </c>
      <c r="I31" s="8">
        <f t="shared" si="2"/>
        <v>1.3127666557269446E-2</v>
      </c>
    </row>
    <row r="32" spans="3:9" x14ac:dyDescent="0.35">
      <c r="C32" s="76" t="s">
        <v>118</v>
      </c>
      <c r="D32" t="s">
        <v>15</v>
      </c>
      <c r="E32" t="s">
        <v>15</v>
      </c>
      <c r="F32" t="s">
        <v>15</v>
      </c>
      <c r="G32" t="s">
        <v>15</v>
      </c>
      <c r="H32" s="5">
        <v>300000</v>
      </c>
      <c r="I32" s="8">
        <f t="shared" si="2"/>
        <v>3.2819166393173614E-3</v>
      </c>
    </row>
    <row r="33" spans="3:9" x14ac:dyDescent="0.35">
      <c r="C33" s="76" t="s">
        <v>119</v>
      </c>
      <c r="D33">
        <v>870</v>
      </c>
      <c r="E33" s="8">
        <f t="shared" si="0"/>
        <v>1.0473094980137234E-2</v>
      </c>
      <c r="F33" s="5">
        <v>750000</v>
      </c>
      <c r="G33" s="8">
        <f t="shared" ref="G33" si="9">F33/F$35</f>
        <v>3.0175015087507542E-2</v>
      </c>
      <c r="H33" s="5">
        <v>7900000</v>
      </c>
      <c r="I33" s="8">
        <f t="shared" si="2"/>
        <v>8.6423804835357179E-2</v>
      </c>
    </row>
    <row r="34" spans="3:9" x14ac:dyDescent="0.35">
      <c r="C34" s="76" t="s">
        <v>120</v>
      </c>
      <c r="D34" s="5">
        <v>1200</v>
      </c>
      <c r="E34" s="8">
        <f t="shared" si="0"/>
        <v>1.444564824846515E-2</v>
      </c>
      <c r="F34" s="5">
        <v>220000</v>
      </c>
      <c r="G34" s="8">
        <f t="shared" ref="G34" si="10">F34/F$35</f>
        <v>8.8513377590022126E-3</v>
      </c>
      <c r="H34" s="5">
        <v>500000</v>
      </c>
      <c r="I34" s="8">
        <f t="shared" si="2"/>
        <v>5.4698610655289359E-3</v>
      </c>
    </row>
    <row r="35" spans="3:9" x14ac:dyDescent="0.35">
      <c r="C35" s="76" t="s">
        <v>121</v>
      </c>
      <c r="D35" s="78">
        <f>SUM(D11:D34)</f>
        <v>83070</v>
      </c>
      <c r="E35" s="79">
        <f t="shared" si="0"/>
        <v>1</v>
      </c>
      <c r="F35" s="78">
        <f>SUM(F11:F34)</f>
        <v>24855000</v>
      </c>
      <c r="G35" s="79">
        <f t="shared" ref="G35" si="11">F35/F$35</f>
        <v>1</v>
      </c>
      <c r="H35" s="80">
        <f>SUM(H11:H34)</f>
        <v>91410000</v>
      </c>
      <c r="I35" s="79">
        <f t="shared" ref="I35" si="12">H35/H$35</f>
        <v>1</v>
      </c>
    </row>
    <row r="36" spans="3:9" ht="8" customHeight="1" x14ac:dyDescent="0.35"/>
    <row r="37" spans="3:9" x14ac:dyDescent="0.35">
      <c r="C37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470AE-2582-4634-8107-B1F31BF8DF0A}">
  <dimension ref="A1:L26"/>
  <sheetViews>
    <sheetView workbookViewId="0">
      <selection activeCell="H12" sqref="H12"/>
    </sheetView>
  </sheetViews>
  <sheetFormatPr defaultRowHeight="14.5" x14ac:dyDescent="0.35"/>
  <cols>
    <col min="3" max="3" width="15.54296875" customWidth="1"/>
    <col min="4" max="4" width="11.7265625" customWidth="1"/>
    <col min="5" max="5" width="10.453125" customWidth="1"/>
    <col min="6" max="6" width="12.1796875" customWidth="1"/>
    <col min="7" max="7" width="10.08984375" customWidth="1"/>
    <col min="11" max="11" width="20.36328125" customWidth="1"/>
    <col min="12" max="12" width="21.90625" customWidth="1"/>
    <col min="22" max="22" width="21.26953125" customWidth="1"/>
    <col min="23" max="23" width="20.26953125" customWidth="1"/>
  </cols>
  <sheetData>
    <row r="1" spans="1:12" ht="28.5" x14ac:dyDescent="0.65">
      <c r="A1" s="2" t="str">
        <f>RawMaterialsBEV!A1</f>
        <v>Solutions to cobalt supply chain problems for transitioning to a BEVs only future #21</v>
      </c>
    </row>
    <row r="3" spans="1:12" ht="15.5" x14ac:dyDescent="0.35">
      <c r="A3" s="1" t="str">
        <f>RawMaterialsBEV!A3</f>
        <v>Proprietary. © H. Mathiesen. This material can be used by others free of charge provided that the author H. Mathiesen is attributed and a clickable link is made visible to the location of used material on www.hmexperience.dk</v>
      </c>
    </row>
    <row r="4" spans="1:12" ht="15.5" x14ac:dyDescent="0.35">
      <c r="A4" s="1" t="str">
        <f>RawMaterialsBEV!A4</f>
        <v>Sources to all information used in this spreadsheet can also be found in associated PowerPoint presentation located also at www.hmexperience.dk</v>
      </c>
    </row>
    <row r="7" spans="1:12" ht="19" thickBot="1" x14ac:dyDescent="0.5">
      <c r="C7" s="123" t="s">
        <v>208</v>
      </c>
      <c r="D7" s="121"/>
      <c r="E7" s="121"/>
      <c r="F7" s="121"/>
      <c r="G7" s="121"/>
      <c r="K7" s="111" t="s">
        <v>221</v>
      </c>
    </row>
    <row r="8" spans="1:12" ht="15.5" customHeight="1" thickTop="1" x14ac:dyDescent="0.35">
      <c r="C8" s="126" t="s">
        <v>123</v>
      </c>
      <c r="D8" s="127" t="s">
        <v>96</v>
      </c>
      <c r="E8" s="127" t="s">
        <v>125</v>
      </c>
      <c r="F8" s="127" t="s">
        <v>126</v>
      </c>
      <c r="G8" s="128" t="s">
        <v>125</v>
      </c>
      <c r="K8" s="110" t="s">
        <v>209</v>
      </c>
      <c r="L8" s="110" t="s">
        <v>210</v>
      </c>
    </row>
    <row r="9" spans="1:12" ht="8.5" customHeight="1" x14ac:dyDescent="0.35">
      <c r="C9" s="129"/>
      <c r="D9" s="121"/>
      <c r="E9" s="121"/>
      <c r="F9" s="121"/>
      <c r="G9" s="130"/>
    </row>
    <row r="10" spans="1:12" x14ac:dyDescent="0.35">
      <c r="C10" s="54" t="s">
        <v>98</v>
      </c>
      <c r="D10" s="5">
        <v>160000</v>
      </c>
      <c r="E10" s="8">
        <f>D10/D$20</f>
        <v>4.8484848484848485E-2</v>
      </c>
      <c r="F10" s="5">
        <v>21000000</v>
      </c>
      <c r="G10" s="20">
        <f>F10/F$20</f>
        <v>0.20574115802880377</v>
      </c>
      <c r="K10" s="76" t="s">
        <v>211</v>
      </c>
      <c r="L10" s="109">
        <v>0.69</v>
      </c>
    </row>
    <row r="11" spans="1:12" x14ac:dyDescent="0.35">
      <c r="C11" s="54" t="s">
        <v>198</v>
      </c>
      <c r="D11" s="5">
        <v>1600000</v>
      </c>
      <c r="E11" s="8">
        <f t="shared" ref="E11:E19" si="0">D11/D$20</f>
        <v>0.48484848484848486</v>
      </c>
      <c r="F11" s="5">
        <v>21000000</v>
      </c>
      <c r="G11" s="20">
        <f t="shared" ref="G11:G16" si="1">F11/F$20</f>
        <v>0.20574115802880377</v>
      </c>
      <c r="K11" s="76" t="s">
        <v>212</v>
      </c>
      <c r="L11" s="109">
        <v>0.11</v>
      </c>
    </row>
    <row r="12" spans="1:12" x14ac:dyDescent="0.35">
      <c r="C12" s="54" t="s">
        <v>101</v>
      </c>
      <c r="D12" s="5">
        <v>100000</v>
      </c>
      <c r="E12" s="8">
        <f t="shared" si="0"/>
        <v>3.0303030303030304E-2</v>
      </c>
      <c r="F12" s="5">
        <v>16000000</v>
      </c>
      <c r="G12" s="20">
        <f t="shared" si="1"/>
        <v>0.15675516802194572</v>
      </c>
      <c r="K12" s="76" t="s">
        <v>213</v>
      </c>
      <c r="L12" s="109">
        <v>7.0000000000000007E-2</v>
      </c>
    </row>
    <row r="13" spans="1:12" x14ac:dyDescent="0.35">
      <c r="C13" s="54" t="s">
        <v>201</v>
      </c>
      <c r="D13" s="37">
        <v>220000</v>
      </c>
      <c r="E13" s="81">
        <f t="shared" si="0"/>
        <v>6.6666666666666666E-2</v>
      </c>
      <c r="F13" s="37">
        <v>7500000</v>
      </c>
      <c r="G13" s="39">
        <f t="shared" si="1"/>
        <v>7.347898501028706E-2</v>
      </c>
      <c r="K13" s="76" t="s">
        <v>214</v>
      </c>
      <c r="L13" s="109">
        <v>0.06</v>
      </c>
    </row>
    <row r="14" spans="1:12" x14ac:dyDescent="0.35">
      <c r="C14" s="54" t="s">
        <v>202</v>
      </c>
      <c r="D14" s="5">
        <v>190000</v>
      </c>
      <c r="E14" s="8">
        <f t="shared" si="0"/>
        <v>5.7575757575757579E-2</v>
      </c>
      <c r="F14" s="5">
        <v>7100000</v>
      </c>
      <c r="G14" s="20">
        <f t="shared" si="1"/>
        <v>6.9560105809738412E-2</v>
      </c>
      <c r="K14" s="76" t="s">
        <v>215</v>
      </c>
      <c r="L14" s="109">
        <v>0.03</v>
      </c>
    </row>
    <row r="15" spans="1:12" x14ac:dyDescent="0.35">
      <c r="C15" s="54" t="s">
        <v>504</v>
      </c>
      <c r="D15" s="5">
        <v>330000</v>
      </c>
      <c r="E15" s="8">
        <f t="shared" si="0"/>
        <v>0.1</v>
      </c>
      <c r="F15" s="5">
        <v>4800000</v>
      </c>
      <c r="G15" s="20">
        <f t="shared" si="1"/>
        <v>4.7026550406583718E-2</v>
      </c>
      <c r="K15" s="76" t="s">
        <v>216</v>
      </c>
      <c r="L15" s="109">
        <v>0.02</v>
      </c>
    </row>
    <row r="16" spans="1:12" x14ac:dyDescent="0.35">
      <c r="C16" s="54" t="s">
        <v>102</v>
      </c>
      <c r="D16" s="5">
        <v>130000</v>
      </c>
      <c r="E16" s="8">
        <f t="shared" si="0"/>
        <v>3.9393939393939391E-2</v>
      </c>
      <c r="F16" s="5">
        <v>2200000</v>
      </c>
      <c r="G16" s="20">
        <f t="shared" si="1"/>
        <v>2.1553835603017536E-2</v>
      </c>
      <c r="K16" s="76" t="s">
        <v>217</v>
      </c>
      <c r="L16" s="109">
        <v>0.02</v>
      </c>
    </row>
    <row r="17" spans="3:12" x14ac:dyDescent="0.35">
      <c r="C17" s="54" t="s">
        <v>104</v>
      </c>
      <c r="D17" s="37">
        <v>120000</v>
      </c>
      <c r="E17" s="81">
        <f t="shared" si="0"/>
        <v>3.6363636363636362E-2</v>
      </c>
      <c r="F17" s="37">
        <v>2100000</v>
      </c>
      <c r="G17" s="39">
        <f>F17/F$20</f>
        <v>2.0574115802880377E-2</v>
      </c>
      <c r="K17" s="76" t="s">
        <v>220</v>
      </c>
      <c r="L17" s="109">
        <f>SUM(L10:L16)</f>
        <v>1</v>
      </c>
    </row>
    <row r="18" spans="3:12" x14ac:dyDescent="0.35">
      <c r="C18" s="54" t="s">
        <v>119</v>
      </c>
      <c r="D18" s="5">
        <v>18000</v>
      </c>
      <c r="E18" s="8">
        <f t="shared" si="0"/>
        <v>5.454545454545455E-3</v>
      </c>
      <c r="F18" s="5">
        <v>370000</v>
      </c>
      <c r="G18" s="20">
        <f t="shared" ref="G18:G20" si="2">F18/F$20</f>
        <v>3.6249632605074951E-3</v>
      </c>
    </row>
    <row r="19" spans="3:12" x14ac:dyDescent="0.35">
      <c r="C19" s="54" t="s">
        <v>203</v>
      </c>
      <c r="D19" s="5">
        <f>D20-SUM(D10:D18)</f>
        <v>432000</v>
      </c>
      <c r="E19" s="8">
        <f t="shared" si="0"/>
        <v>0.13090909090909092</v>
      </c>
      <c r="F19" s="5">
        <v>20000000</v>
      </c>
      <c r="G19" s="20">
        <f t="shared" si="2"/>
        <v>0.19594396002743217</v>
      </c>
    </row>
    <row r="20" spans="3:12" ht="14.5" customHeight="1" thickBot="1" x14ac:dyDescent="0.4">
      <c r="C20" s="64" t="s">
        <v>121</v>
      </c>
      <c r="D20" s="131">
        <v>3300000</v>
      </c>
      <c r="E20" s="132">
        <f>D20/D$20</f>
        <v>1</v>
      </c>
      <c r="F20" s="131">
        <f>SUM(F10:F19)</f>
        <v>102070000</v>
      </c>
      <c r="G20" s="133">
        <f t="shared" si="2"/>
        <v>1</v>
      </c>
      <c r="K20" s="4" t="s">
        <v>218</v>
      </c>
      <c r="L20" s="9" t="s">
        <v>219</v>
      </c>
    </row>
    <row r="21" spans="3:12" ht="14.5" customHeight="1" thickTop="1" x14ac:dyDescent="0.35">
      <c r="C21" s="125" t="s">
        <v>505</v>
      </c>
    </row>
    <row r="22" spans="3:12" ht="14.5" customHeight="1" x14ac:dyDescent="0.35"/>
    <row r="23" spans="3:12" x14ac:dyDescent="0.35">
      <c r="C23" s="4" t="s">
        <v>199</v>
      </c>
      <c r="E23" s="9" t="s">
        <v>200</v>
      </c>
    </row>
    <row r="24" spans="3:12" x14ac:dyDescent="0.35">
      <c r="C24" s="4" t="s">
        <v>204</v>
      </c>
      <c r="E24" s="9" t="s">
        <v>205</v>
      </c>
    </row>
    <row r="25" spans="3:12" x14ac:dyDescent="0.35">
      <c r="C25" s="4" t="s">
        <v>204</v>
      </c>
      <c r="E25" s="9" t="s">
        <v>206</v>
      </c>
    </row>
    <row r="26" spans="3:12" x14ac:dyDescent="0.35">
      <c r="C26" s="4" t="s">
        <v>207</v>
      </c>
      <c r="G26" s="9" t="s">
        <v>152</v>
      </c>
    </row>
  </sheetData>
  <hyperlinks>
    <hyperlink ref="E23" r:id="rId1" xr:uid="{5DEE5F28-CE3D-4182-8DB1-DCBE5D7CABCD}"/>
    <hyperlink ref="E24" r:id="rId2" xr:uid="{E31ACB17-33BF-4A79-B639-047807127203}"/>
    <hyperlink ref="E25" r:id="rId3" xr:uid="{2DC07EEF-0F61-472D-A554-22F93557A457}"/>
    <hyperlink ref="G26" r:id="rId4" xr:uid="{4F45B3D8-1C8C-4F4C-BCFD-1137385A04BD}"/>
    <hyperlink ref="L20" r:id="rId5" location="04-first-use-nickel" xr:uid="{6DBE56E5-7F31-45D2-BC44-ACCA1B094A3A}"/>
  </hyperlinks>
  <pageMargins left="0.7" right="0.7" top="0.75" bottom="0.75" header="0.3" footer="0.3"/>
  <pageSetup orientation="portrait" verticalDpi="0" r:id="rId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FBD90-A850-4400-804F-580396FEEDA1}">
  <dimension ref="A1:L38"/>
  <sheetViews>
    <sheetView workbookViewId="0">
      <selection activeCell="H10" sqref="H10"/>
    </sheetView>
  </sheetViews>
  <sheetFormatPr defaultRowHeight="14.5" x14ac:dyDescent="0.35"/>
  <cols>
    <col min="3" max="3" width="15.54296875" customWidth="1"/>
    <col min="4" max="4" width="11.7265625" customWidth="1"/>
    <col min="5" max="5" width="10.453125" customWidth="1"/>
    <col min="6" max="6" width="11" customWidth="1"/>
    <col min="7" max="7" width="12.453125" customWidth="1"/>
    <col min="8" max="8" width="13.90625" customWidth="1"/>
    <col min="11" max="11" width="20.36328125" customWidth="1"/>
    <col min="12" max="12" width="17.6328125" customWidth="1"/>
    <col min="22" max="22" width="21.26953125" customWidth="1"/>
    <col min="23" max="23" width="20.26953125" customWidth="1"/>
  </cols>
  <sheetData>
    <row r="1" spans="1:12" ht="28.5" x14ac:dyDescent="0.65">
      <c r="A1" s="2" t="str">
        <f>RawMaterialsBEV!A1</f>
        <v>Solutions to cobalt supply chain problems for transitioning to a BEVs only future #21</v>
      </c>
    </row>
    <row r="3" spans="1:12" ht="15.5" x14ac:dyDescent="0.35">
      <c r="A3" s="1" t="str">
        <f>RawMaterialsBEV!A3</f>
        <v>Proprietary. © H. Mathiesen. This material can be used by others free of charge provided that the author H. Mathiesen is attributed and a clickable link is made visible to the location of used material on www.hmexperience.dk</v>
      </c>
    </row>
    <row r="4" spans="1:12" ht="15.5" x14ac:dyDescent="0.35">
      <c r="A4" s="1" t="str">
        <f>RawMaterialsBEV!A4</f>
        <v>Sources to all information used in this spreadsheet can also be found in associated PowerPoint presentation located also at www.hmexperience.dk</v>
      </c>
    </row>
    <row r="7" spans="1:12" ht="19" thickBot="1" x14ac:dyDescent="0.5">
      <c r="C7" s="123" t="s">
        <v>368</v>
      </c>
      <c r="D7" s="121"/>
      <c r="E7" s="121"/>
      <c r="F7" s="121"/>
      <c r="G7" s="121"/>
      <c r="K7" s="111" t="s">
        <v>360</v>
      </c>
    </row>
    <row r="8" spans="1:12" ht="15.5" customHeight="1" thickTop="1" x14ac:dyDescent="0.35">
      <c r="C8" s="126" t="s">
        <v>123</v>
      </c>
      <c r="D8" s="127" t="s">
        <v>96</v>
      </c>
      <c r="E8" s="127" t="s">
        <v>125</v>
      </c>
      <c r="F8" s="127" t="s">
        <v>126</v>
      </c>
      <c r="G8" s="128" t="s">
        <v>125</v>
      </c>
      <c r="K8" s="192" t="s">
        <v>351</v>
      </c>
      <c r="L8" s="193" t="s">
        <v>210</v>
      </c>
    </row>
    <row r="9" spans="1:12" ht="8.5" customHeight="1" x14ac:dyDescent="0.35">
      <c r="C9" s="129"/>
      <c r="D9" s="121"/>
      <c r="E9" s="121"/>
      <c r="F9" s="121"/>
      <c r="G9" s="130"/>
      <c r="K9" s="194"/>
      <c r="L9" s="195"/>
    </row>
    <row r="10" spans="1:12" x14ac:dyDescent="0.35">
      <c r="C10" s="54" t="s">
        <v>106</v>
      </c>
      <c r="D10" s="141">
        <v>130000</v>
      </c>
      <c r="E10" s="142">
        <f t="shared" ref="E10:E25" si="0">D10/D$24</f>
        <v>0.68421052631578949</v>
      </c>
      <c r="F10" s="141">
        <v>4000000</v>
      </c>
      <c r="G10" s="143">
        <f t="shared" ref="G10:G25" si="1">F10/F$24</f>
        <v>0.47932893948472138</v>
      </c>
      <c r="K10" s="196" t="s">
        <v>212</v>
      </c>
      <c r="L10" s="20">
        <v>0.5645</v>
      </c>
    </row>
    <row r="11" spans="1:12" x14ac:dyDescent="0.35">
      <c r="C11" s="54" t="s">
        <v>362</v>
      </c>
      <c r="D11" s="5">
        <v>10000</v>
      </c>
      <c r="E11" s="8">
        <f t="shared" si="0"/>
        <v>5.2631578947368418E-2</v>
      </c>
      <c r="F11" s="5">
        <v>600000</v>
      </c>
      <c r="G11" s="20">
        <f t="shared" si="1"/>
        <v>7.1899340922708208E-2</v>
      </c>
      <c r="K11" s="196" t="s">
        <v>353</v>
      </c>
      <c r="L11" s="20">
        <v>0.13200000000000001</v>
      </c>
    </row>
    <row r="12" spans="1:12" x14ac:dyDescent="0.35">
      <c r="C12" s="54" t="s">
        <v>227</v>
      </c>
      <c r="D12" s="141">
        <v>8900</v>
      </c>
      <c r="E12" s="142">
        <f t="shared" si="0"/>
        <v>4.6842105263157893E-2</v>
      </c>
      <c r="F12" s="141">
        <v>250000</v>
      </c>
      <c r="G12" s="143">
        <f t="shared" si="1"/>
        <v>2.9958058717795086E-2</v>
      </c>
      <c r="K12" s="196" t="s">
        <v>354</v>
      </c>
      <c r="L12" s="20">
        <v>7.9000000000000001E-2</v>
      </c>
    </row>
    <row r="13" spans="1:12" x14ac:dyDescent="0.35">
      <c r="C13" s="54" t="s">
        <v>98</v>
      </c>
      <c r="D13" s="5">
        <v>5900</v>
      </c>
      <c r="E13" s="8">
        <f t="shared" si="0"/>
        <v>3.105263157894737E-2</v>
      </c>
      <c r="F13" s="5">
        <v>1500000</v>
      </c>
      <c r="G13" s="20">
        <f t="shared" si="1"/>
        <v>0.17974835230677053</v>
      </c>
      <c r="K13" s="196" t="s">
        <v>355</v>
      </c>
      <c r="L13" s="20">
        <v>6.4500000000000002E-2</v>
      </c>
    </row>
    <row r="14" spans="1:12" x14ac:dyDescent="0.35">
      <c r="C14" s="54" t="s">
        <v>102</v>
      </c>
      <c r="D14" s="5">
        <v>3900</v>
      </c>
      <c r="E14" s="8">
        <f t="shared" si="0"/>
        <v>2.0526315789473684E-2</v>
      </c>
      <c r="F14" s="5">
        <v>220000</v>
      </c>
      <c r="G14" s="20">
        <f t="shared" si="1"/>
        <v>2.6363091671659677E-2</v>
      </c>
      <c r="K14" s="196" t="s">
        <v>356</v>
      </c>
      <c r="L14" s="20">
        <v>4.9000000000000002E-2</v>
      </c>
    </row>
    <row r="15" spans="1:12" x14ac:dyDescent="0.35">
      <c r="C15" s="54" t="s">
        <v>363</v>
      </c>
      <c r="D15" s="141">
        <v>3800</v>
      </c>
      <c r="E15" s="142">
        <f t="shared" si="0"/>
        <v>0.02</v>
      </c>
      <c r="F15" s="141">
        <v>500000</v>
      </c>
      <c r="G15" s="143">
        <f t="shared" si="1"/>
        <v>5.9916117435590173E-2</v>
      </c>
      <c r="K15" s="196" t="s">
        <v>357</v>
      </c>
      <c r="L15" s="20">
        <v>4.1000000000000002E-2</v>
      </c>
    </row>
    <row r="16" spans="1:12" x14ac:dyDescent="0.35">
      <c r="C16" s="54" t="s">
        <v>364</v>
      </c>
      <c r="D16" s="5">
        <v>3800</v>
      </c>
      <c r="E16" s="8">
        <f t="shared" si="0"/>
        <v>0.02</v>
      </c>
      <c r="F16" s="5">
        <v>260000</v>
      </c>
      <c r="G16" s="20">
        <f t="shared" si="1"/>
        <v>3.1156381066506891E-2</v>
      </c>
      <c r="K16" s="196" t="s">
        <v>358</v>
      </c>
      <c r="L16" s="20">
        <v>1.95E-2</v>
      </c>
    </row>
    <row r="17" spans="3:12" x14ac:dyDescent="0.35">
      <c r="C17" s="54" t="s">
        <v>365</v>
      </c>
      <c r="D17" s="5">
        <v>3000</v>
      </c>
      <c r="E17" s="8">
        <f t="shared" si="0"/>
        <v>1.5789473684210527E-2</v>
      </c>
      <c r="F17" s="5">
        <v>100000</v>
      </c>
      <c r="G17" s="20">
        <f t="shared" si="1"/>
        <v>1.1983223487118035E-2</v>
      </c>
      <c r="K17" s="196" t="s">
        <v>359</v>
      </c>
      <c r="L17" s="20">
        <v>5.0500000000000003E-2</v>
      </c>
    </row>
    <row r="18" spans="3:12" ht="15" thickBot="1" x14ac:dyDescent="0.4">
      <c r="C18" s="54" t="s">
        <v>366</v>
      </c>
      <c r="D18" s="5">
        <v>3000</v>
      </c>
      <c r="E18" s="8">
        <f t="shared" si="0"/>
        <v>1.5789473684210527E-2</v>
      </c>
      <c r="F18" s="5">
        <v>47000</v>
      </c>
      <c r="G18" s="20">
        <f t="shared" si="1"/>
        <v>5.6321150389454762E-3</v>
      </c>
      <c r="K18" s="197" t="s">
        <v>220</v>
      </c>
      <c r="L18" s="187">
        <f>SUM(L10:L17)</f>
        <v>1</v>
      </c>
    </row>
    <row r="19" spans="3:12" ht="15" thickTop="1" x14ac:dyDescent="0.35">
      <c r="C19" s="54" t="s">
        <v>226</v>
      </c>
      <c r="D19" s="5">
        <v>2700</v>
      </c>
      <c r="E19" s="8">
        <f t="shared" si="0"/>
        <v>1.4210526315789474E-2</v>
      </c>
      <c r="F19" s="5">
        <v>36000</v>
      </c>
      <c r="G19" s="20">
        <f t="shared" si="1"/>
        <v>4.3139604553624929E-3</v>
      </c>
      <c r="K19" s="4" t="s">
        <v>218</v>
      </c>
      <c r="L19" s="9" t="s">
        <v>352</v>
      </c>
    </row>
    <row r="20" spans="3:12" x14ac:dyDescent="0.35">
      <c r="C20" s="54" t="s">
        <v>367</v>
      </c>
      <c r="D20" s="5">
        <v>2300</v>
      </c>
      <c r="E20" s="8">
        <f t="shared" si="0"/>
        <v>1.2105263157894737E-2</v>
      </c>
      <c r="F20" s="5">
        <v>13000</v>
      </c>
      <c r="G20" s="20">
        <f t="shared" si="1"/>
        <v>1.5578190533253446E-3</v>
      </c>
      <c r="K20" s="4"/>
      <c r="L20" s="9"/>
    </row>
    <row r="21" spans="3:12" x14ac:dyDescent="0.35">
      <c r="C21" s="54" t="s">
        <v>104</v>
      </c>
      <c r="D21" s="141">
        <v>2200</v>
      </c>
      <c r="E21" s="142">
        <f t="shared" si="0"/>
        <v>1.1578947368421053E-2</v>
      </c>
      <c r="F21" s="141">
        <v>140000</v>
      </c>
      <c r="G21" s="143">
        <f t="shared" si="1"/>
        <v>1.6776512881965248E-2</v>
      </c>
      <c r="K21" s="4"/>
      <c r="L21" s="9"/>
    </row>
    <row r="22" spans="3:12" x14ac:dyDescent="0.35">
      <c r="C22" s="54" t="s">
        <v>119</v>
      </c>
      <c r="D22">
        <v>800</v>
      </c>
      <c r="E22" s="8">
        <f t="shared" si="0"/>
        <v>4.2105263157894736E-3</v>
      </c>
      <c r="F22" s="5">
        <v>69000</v>
      </c>
      <c r="G22" s="20">
        <f t="shared" si="1"/>
        <v>8.2684242061114438E-3</v>
      </c>
      <c r="K22" s="4"/>
      <c r="L22" s="9"/>
    </row>
    <row r="23" spans="3:12" x14ac:dyDescent="0.35">
      <c r="C23" s="54" t="s">
        <v>203</v>
      </c>
      <c r="D23" s="5">
        <f>D24-SUM(D10:D22)</f>
        <v>9700</v>
      </c>
      <c r="E23" s="8">
        <f t="shared" si="0"/>
        <v>5.105263157894737E-2</v>
      </c>
      <c r="F23" s="5">
        <v>610000</v>
      </c>
      <c r="G23" s="20">
        <f t="shared" si="1"/>
        <v>7.3097663271420019E-2</v>
      </c>
      <c r="K23" s="4"/>
      <c r="L23" s="9"/>
    </row>
    <row r="24" spans="3:12" ht="14.5" customHeight="1" thickBot="1" x14ac:dyDescent="0.4">
      <c r="C24" s="64" t="s">
        <v>121</v>
      </c>
      <c r="D24" s="131">
        <v>190000</v>
      </c>
      <c r="E24" s="132">
        <f t="shared" si="0"/>
        <v>1</v>
      </c>
      <c r="F24" s="131">
        <f>SUM(F10:F23)</f>
        <v>8345000</v>
      </c>
      <c r="G24" s="133">
        <f t="shared" si="1"/>
        <v>1</v>
      </c>
    </row>
    <row r="25" spans="3:12" ht="14.5" customHeight="1" thickTop="1" thickBot="1" x14ac:dyDescent="0.4">
      <c r="C25" s="64" t="s">
        <v>369</v>
      </c>
      <c r="D25" s="144">
        <f>SUM(D10,D12,D15,D21)</f>
        <v>144900</v>
      </c>
      <c r="E25" s="145">
        <f t="shared" si="0"/>
        <v>0.76263157894736844</v>
      </c>
      <c r="F25" s="144">
        <f>SUM(F10,F12,F15,F21)</f>
        <v>4890000</v>
      </c>
      <c r="G25" s="146">
        <f t="shared" si="1"/>
        <v>0.5859796285200719</v>
      </c>
    </row>
    <row r="26" spans="3:12" ht="14.5" customHeight="1" thickTop="1" x14ac:dyDescent="0.35">
      <c r="C26" s="125" t="s">
        <v>505</v>
      </c>
    </row>
    <row r="27" spans="3:12" ht="14.5" customHeight="1" x14ac:dyDescent="0.35">
      <c r="F27" t="s">
        <v>370</v>
      </c>
    </row>
    <row r="28" spans="3:12" x14ac:dyDescent="0.35">
      <c r="C28" s="4" t="s">
        <v>372</v>
      </c>
      <c r="F28" s="9" t="s">
        <v>371</v>
      </c>
    </row>
    <row r="29" spans="3:12" x14ac:dyDescent="0.35">
      <c r="C29" s="4" t="s">
        <v>373</v>
      </c>
      <c r="F29" s="9" t="s">
        <v>361</v>
      </c>
    </row>
    <row r="30" spans="3:12" x14ac:dyDescent="0.35">
      <c r="C30" s="4" t="s">
        <v>374</v>
      </c>
      <c r="E30" s="9"/>
      <c r="F30" s="9" t="s">
        <v>149</v>
      </c>
    </row>
    <row r="31" spans="3:12" x14ac:dyDescent="0.35">
      <c r="C31" s="4"/>
      <c r="G31" s="9"/>
    </row>
    <row r="33" spans="3:8" x14ac:dyDescent="0.35">
      <c r="C33" s="4" t="s">
        <v>450</v>
      </c>
      <c r="H33" s="5">
        <f>Co!F24*1000/CostOfRawMaterialsBEV!C20</f>
        <v>1349799430.6418219</v>
      </c>
    </row>
    <row r="36" spans="3:8" x14ac:dyDescent="0.35">
      <c r="C36" t="s">
        <v>451</v>
      </c>
      <c r="F36" s="5">
        <v>94000000</v>
      </c>
    </row>
    <row r="37" spans="3:8" x14ac:dyDescent="0.35">
      <c r="C37" t="s">
        <v>87</v>
      </c>
      <c r="D37" s="9" t="s">
        <v>395</v>
      </c>
    </row>
    <row r="38" spans="3:8" x14ac:dyDescent="0.35">
      <c r="C38" s="4" t="s">
        <v>452</v>
      </c>
      <c r="H38" s="5">
        <f>F36*1000/CostOfRawMaterialsBEV!C20</f>
        <v>15204451345.755693</v>
      </c>
    </row>
  </sheetData>
  <hyperlinks>
    <hyperlink ref="L19" r:id="rId1" xr:uid="{F45CAB7A-F42A-48EF-ABC3-82D79D71D2C2}"/>
    <hyperlink ref="F29" r:id="rId2" xr:uid="{FBCB16F4-2927-40DE-B5B1-698E90A4A7B5}"/>
    <hyperlink ref="F30" r:id="rId3" xr:uid="{3AA524A8-4E31-442F-AB3A-D14D90924DA1}"/>
    <hyperlink ref="F28" r:id="rId4" xr:uid="{7F331048-E8D4-4350-B982-83A6607CD4DA}"/>
    <hyperlink ref="D37" r:id="rId5" xr:uid="{D9C06D20-C643-4A78-8F80-24FE0FA32332}"/>
  </hyperlinks>
  <pageMargins left="0.7" right="0.7" top="0.75" bottom="0.75" header="0.3" footer="0.3"/>
  <pageSetup orientation="portrait" verticalDpi="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CostOfRawMaterialsBEV</vt:lpstr>
      <vt:lpstr>RawMaterialsBEV</vt:lpstr>
      <vt:lpstr>RawMaterial</vt:lpstr>
      <vt:lpstr>RM_ByBatChem</vt:lpstr>
      <vt:lpstr>Cu</vt:lpstr>
      <vt:lpstr>GrowthLi</vt:lpstr>
      <vt:lpstr>Li</vt:lpstr>
      <vt:lpstr>Ni</vt:lpstr>
      <vt:lpstr>Co</vt:lpstr>
      <vt:lpstr>Mg</vt:lpstr>
      <vt:lpstr>Mn</vt:lpstr>
      <vt:lpstr>Recycling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2023-05-06T19:10:24Z</dcterms:modified>
</cp:coreProperties>
</file>