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10" windowWidth="14810" windowHeight="8010" activeTab="2"/>
  </bookViews>
  <sheets>
    <sheet name="E=mc2" sheetId="1" r:id="rId1"/>
    <sheet name="Global_kWh" sheetId="2" r:id="rId2"/>
    <sheet name="PredictingFutureGrowth" sheetId="3" r:id="rId3"/>
  </sheets>
  <calcPr calcId="125725"/>
</workbook>
</file>

<file path=xl/calcChain.xml><?xml version="1.0" encoding="utf-8"?>
<calcChain xmlns="http://schemas.openxmlformats.org/spreadsheetml/2006/main">
  <c r="P43" i="3"/>
  <c r="P41"/>
  <c r="P39"/>
  <c r="P37"/>
  <c r="P35"/>
  <c r="P33"/>
  <c r="P31"/>
  <c r="P29"/>
  <c r="P27"/>
  <c r="P25"/>
  <c r="Q44"/>
  <c r="O43"/>
  <c r="Q42"/>
  <c r="O41"/>
  <c r="Q40"/>
  <c r="O39"/>
  <c r="Q38"/>
  <c r="O37"/>
  <c r="Q36"/>
  <c r="O35"/>
  <c r="Q34"/>
  <c r="O33"/>
  <c r="Q32"/>
  <c r="O31"/>
  <c r="Q11"/>
  <c r="Q12"/>
  <c r="Q13"/>
  <c r="Q14"/>
  <c r="Q15"/>
  <c r="Q16"/>
  <c r="Q17"/>
  <c r="Q18"/>
  <c r="Q19"/>
  <c r="Q20"/>
  <c r="Q22"/>
  <c r="Q24"/>
  <c r="Q26"/>
  <c r="Q28"/>
  <c r="Q30"/>
  <c r="Q10"/>
  <c r="O27"/>
  <c r="O25"/>
  <c r="L6"/>
  <c r="L10"/>
  <c r="J6"/>
  <c r="J39" s="1"/>
  <c r="J8"/>
  <c r="K8" s="1"/>
  <c r="H8"/>
  <c r="I8" s="1"/>
  <c r="H6"/>
  <c r="H39" s="1"/>
  <c r="F6"/>
  <c r="F37" s="1"/>
  <c r="F10"/>
  <c r="F5"/>
  <c r="H5" s="1"/>
  <c r="J5" s="1"/>
  <c r="L5" s="1"/>
  <c r="D10"/>
  <c r="D6"/>
  <c r="B10"/>
  <c r="C10" s="1"/>
  <c r="L8" i="2"/>
  <c r="J19"/>
  <c r="J17"/>
  <c r="G17"/>
  <c r="F17"/>
  <c r="D22"/>
  <c r="G15"/>
  <c r="G16"/>
  <c r="F15"/>
  <c r="J15"/>
  <c r="J16"/>
  <c r="F16"/>
  <c r="I14"/>
  <c r="G13"/>
  <c r="F12"/>
  <c r="G12"/>
  <c r="G10"/>
  <c r="G9"/>
  <c r="F9"/>
  <c r="J14"/>
  <c r="H14"/>
  <c r="D14"/>
  <c r="J11"/>
  <c r="F11"/>
  <c r="G11"/>
  <c r="A4"/>
  <c r="A3"/>
  <c r="J13"/>
  <c r="F13"/>
  <c r="F10"/>
  <c r="F22" s="1"/>
  <c r="J10"/>
  <c r="I8"/>
  <c r="G8" s="1"/>
  <c r="B6" i="3" s="1"/>
  <c r="J9" i="2"/>
  <c r="H21"/>
  <c r="J21" s="1"/>
  <c r="J12"/>
  <c r="J29" i="3" l="1"/>
  <c r="H29"/>
  <c r="J27"/>
  <c r="H27"/>
  <c r="J25"/>
  <c r="H25"/>
  <c r="J31"/>
  <c r="J41"/>
  <c r="F21"/>
  <c r="H9"/>
  <c r="H10" s="1"/>
  <c r="I10" s="1"/>
  <c r="H23"/>
  <c r="H31"/>
  <c r="H41"/>
  <c r="J23"/>
  <c r="H21"/>
  <c r="F31"/>
  <c r="J33"/>
  <c r="F29"/>
  <c r="H33"/>
  <c r="J21"/>
  <c r="F27"/>
  <c r="F33"/>
  <c r="J35"/>
  <c r="J43"/>
  <c r="F25"/>
  <c r="H35"/>
  <c r="J37"/>
  <c r="F35"/>
  <c r="H37"/>
  <c r="F23"/>
  <c r="J9"/>
  <c r="K9" s="1"/>
  <c r="M10"/>
  <c r="L11"/>
  <c r="F11"/>
  <c r="G10"/>
  <c r="H11"/>
  <c r="D11"/>
  <c r="D12" s="1"/>
  <c r="E10"/>
  <c r="B11"/>
  <c r="C11" s="1"/>
  <c r="J20" i="2"/>
  <c r="H22"/>
  <c r="J22" s="1"/>
  <c r="C107" i="1"/>
  <c r="C110"/>
  <c r="C111" s="1"/>
  <c r="C103"/>
  <c r="C104" s="1"/>
  <c r="C99"/>
  <c r="C100" s="1"/>
  <c r="C95"/>
  <c r="C96" s="1"/>
  <c r="L54"/>
  <c r="L57" s="1"/>
  <c r="L52"/>
  <c r="J78"/>
  <c r="J77" s="1"/>
  <c r="J73" s="1"/>
  <c r="J75" s="1"/>
  <c r="H78"/>
  <c r="H77" s="1"/>
  <c r="H73" s="1"/>
  <c r="H75" s="1"/>
  <c r="F78"/>
  <c r="F77" s="1"/>
  <c r="F73" s="1"/>
  <c r="F75" s="1"/>
  <c r="D80"/>
  <c r="D78" s="1"/>
  <c r="D77" s="1"/>
  <c r="D73" s="1"/>
  <c r="D75" s="1"/>
  <c r="J34"/>
  <c r="F34"/>
  <c r="D34"/>
  <c r="B34"/>
  <c r="B78"/>
  <c r="B77" s="1"/>
  <c r="B73" s="1"/>
  <c r="B75" s="1"/>
  <c r="E70"/>
  <c r="G70" s="1"/>
  <c r="I70" s="1"/>
  <c r="K70" s="1"/>
  <c r="N48"/>
  <c r="L48"/>
  <c r="J48"/>
  <c r="F48"/>
  <c r="H48" s="1"/>
  <c r="H50" s="1"/>
  <c r="F52"/>
  <c r="N54"/>
  <c r="N55" s="1"/>
  <c r="N52"/>
  <c r="J54"/>
  <c r="J55" s="1"/>
  <c r="J52"/>
  <c r="B54"/>
  <c r="B57" s="1"/>
  <c r="B52"/>
  <c r="D50"/>
  <c r="L65" s="1"/>
  <c r="J36"/>
  <c r="J37" s="1"/>
  <c r="H32"/>
  <c r="H36" s="1"/>
  <c r="B36"/>
  <c r="B37" s="1"/>
  <c r="F36"/>
  <c r="F37" s="1"/>
  <c r="D36"/>
  <c r="D37" s="1"/>
  <c r="E29"/>
  <c r="G29" s="1"/>
  <c r="I29" s="1"/>
  <c r="K29" s="1"/>
  <c r="M29" s="1"/>
  <c r="B11"/>
  <c r="B17" s="1"/>
  <c r="B22" s="1"/>
  <c r="I9" i="3" l="1"/>
  <c r="J10"/>
  <c r="K10" s="1"/>
  <c r="N10" s="1"/>
  <c r="M11"/>
  <c r="L12"/>
  <c r="G11"/>
  <c r="F12"/>
  <c r="F13" s="1"/>
  <c r="F14" s="1"/>
  <c r="F15" s="1"/>
  <c r="H12"/>
  <c r="I11"/>
  <c r="E11"/>
  <c r="B12"/>
  <c r="D13"/>
  <c r="J57" i="1"/>
  <c r="D39"/>
  <c r="D54"/>
  <c r="D52"/>
  <c r="F39"/>
  <c r="J65"/>
  <c r="F65"/>
  <c r="N65"/>
  <c r="L32"/>
  <c r="L34" s="1"/>
  <c r="B39"/>
  <c r="N57"/>
  <c r="H52"/>
  <c r="H54"/>
  <c r="F54"/>
  <c r="B55"/>
  <c r="J39"/>
  <c r="H37"/>
  <c r="H39"/>
  <c r="O10" i="3" l="1"/>
  <c r="P10" s="1"/>
  <c r="J11"/>
  <c r="K11" s="1"/>
  <c r="N11" s="1"/>
  <c r="F16"/>
  <c r="M12"/>
  <c r="L13"/>
  <c r="G12"/>
  <c r="I12"/>
  <c r="H13"/>
  <c r="E12"/>
  <c r="B13"/>
  <c r="G13" s="1"/>
  <c r="C12"/>
  <c r="D14"/>
  <c r="D15" s="1"/>
  <c r="L36" i="1"/>
  <c r="L37" s="1"/>
  <c r="H55"/>
  <c r="H57"/>
  <c r="F55"/>
  <c r="F57"/>
  <c r="L55"/>
  <c r="D57"/>
  <c r="D55"/>
  <c r="O11" i="3" l="1"/>
  <c r="P11" s="1"/>
  <c r="J12"/>
  <c r="J13" s="1"/>
  <c r="J14" s="1"/>
  <c r="D16"/>
  <c r="F17"/>
  <c r="L14"/>
  <c r="M13"/>
  <c r="I13"/>
  <c r="H14"/>
  <c r="E13"/>
  <c r="B14"/>
  <c r="C13"/>
  <c r="L39" i="1"/>
  <c r="K12" i="3" l="1"/>
  <c r="N12" s="1"/>
  <c r="K13"/>
  <c r="N13" s="1"/>
  <c r="D17"/>
  <c r="F18"/>
  <c r="M14"/>
  <c r="L15"/>
  <c r="K14"/>
  <c r="J15"/>
  <c r="I14"/>
  <c r="H15"/>
  <c r="E14"/>
  <c r="B15"/>
  <c r="C14"/>
  <c r="G14"/>
  <c r="O13" l="1"/>
  <c r="P13" s="1"/>
  <c r="O12"/>
  <c r="P12" s="1"/>
  <c r="F19"/>
  <c r="D18"/>
  <c r="M15"/>
  <c r="L16"/>
  <c r="J16"/>
  <c r="K15"/>
  <c r="I15"/>
  <c r="H16"/>
  <c r="B16"/>
  <c r="C15"/>
  <c r="G15"/>
  <c r="E15"/>
  <c r="O14"/>
  <c r="N14"/>
  <c r="P14" l="1"/>
  <c r="F20"/>
  <c r="F22" s="1"/>
  <c r="D19"/>
  <c r="M16"/>
  <c r="L17"/>
  <c r="J17"/>
  <c r="K16"/>
  <c r="H17"/>
  <c r="I16"/>
  <c r="B17"/>
  <c r="C16"/>
  <c r="G16"/>
  <c r="E16"/>
  <c r="N15"/>
  <c r="O15" l="1"/>
  <c r="P15" s="1"/>
  <c r="F24"/>
  <c r="D20"/>
  <c r="M17"/>
  <c r="L18"/>
  <c r="J18"/>
  <c r="K17"/>
  <c r="I17"/>
  <c r="H18"/>
  <c r="B18"/>
  <c r="C17"/>
  <c r="G17"/>
  <c r="E17"/>
  <c r="N16"/>
  <c r="O16" l="1"/>
  <c r="P16" s="1"/>
  <c r="F26"/>
  <c r="D30"/>
  <c r="D32" s="1"/>
  <c r="D34" s="1"/>
  <c r="D22"/>
  <c r="D24" s="1"/>
  <c r="D26" s="1"/>
  <c r="D28" s="1"/>
  <c r="M18"/>
  <c r="L19"/>
  <c r="J19"/>
  <c r="K18"/>
  <c r="H19"/>
  <c r="I18"/>
  <c r="B19"/>
  <c r="C18"/>
  <c r="G18"/>
  <c r="E18"/>
  <c r="N17"/>
  <c r="D36" l="1"/>
  <c r="F28"/>
  <c r="O17"/>
  <c r="P17" s="1"/>
  <c r="M19"/>
  <c r="L20"/>
  <c r="L22" s="1"/>
  <c r="K19"/>
  <c r="J20"/>
  <c r="J22" s="1"/>
  <c r="I19"/>
  <c r="H20"/>
  <c r="H22" s="1"/>
  <c r="C19"/>
  <c r="B20"/>
  <c r="B22" s="1"/>
  <c r="G19"/>
  <c r="E19"/>
  <c r="N18"/>
  <c r="K22" l="1"/>
  <c r="K21" s="1"/>
  <c r="J24"/>
  <c r="H24"/>
  <c r="I22"/>
  <c r="I21" s="1"/>
  <c r="F30"/>
  <c r="O18"/>
  <c r="P18" s="1"/>
  <c r="D38"/>
  <c r="B24"/>
  <c r="G22"/>
  <c r="L24"/>
  <c r="M22"/>
  <c r="M21" s="1"/>
  <c r="M20"/>
  <c r="K20"/>
  <c r="I20"/>
  <c r="C20"/>
  <c r="G20"/>
  <c r="E20"/>
  <c r="N19"/>
  <c r="L26" l="1"/>
  <c r="M24"/>
  <c r="M23" s="1"/>
  <c r="J26"/>
  <c r="K24"/>
  <c r="K23" s="1"/>
  <c r="I24"/>
  <c r="I23" s="1"/>
  <c r="H26"/>
  <c r="F32"/>
  <c r="D40"/>
  <c r="B26"/>
  <c r="G24"/>
  <c r="G23" s="1"/>
  <c r="O19"/>
  <c r="P19" s="1"/>
  <c r="G21"/>
  <c r="C22"/>
  <c r="E22"/>
  <c r="E21" s="1"/>
  <c r="N20"/>
  <c r="L28" l="1"/>
  <c r="M26"/>
  <c r="M25" s="1"/>
  <c r="O20"/>
  <c r="P20" s="1"/>
  <c r="J28"/>
  <c r="K26"/>
  <c r="K25" s="1"/>
  <c r="H28"/>
  <c r="I26"/>
  <c r="I25" s="1"/>
  <c r="F34"/>
  <c r="D42"/>
  <c r="B28"/>
  <c r="G26"/>
  <c r="G25" s="1"/>
  <c r="C24"/>
  <c r="E24"/>
  <c r="N22"/>
  <c r="B30" l="1"/>
  <c r="G28"/>
  <c r="G27" s="1"/>
  <c r="L30"/>
  <c r="M28"/>
  <c r="M27" s="1"/>
  <c r="N21"/>
  <c r="J30"/>
  <c r="J32" s="1"/>
  <c r="K28"/>
  <c r="K27" s="1"/>
  <c r="H30"/>
  <c r="I28"/>
  <c r="I27" s="1"/>
  <c r="F36"/>
  <c r="D44"/>
  <c r="E23"/>
  <c r="N24"/>
  <c r="O22"/>
  <c r="C28"/>
  <c r="E28"/>
  <c r="C26"/>
  <c r="E26"/>
  <c r="K30" l="1"/>
  <c r="K29" s="1"/>
  <c r="B32"/>
  <c r="G30"/>
  <c r="G29" s="1"/>
  <c r="L32"/>
  <c r="L34" s="1"/>
  <c r="M30"/>
  <c r="M29" s="1"/>
  <c r="J34"/>
  <c r="N23"/>
  <c r="P23" s="1"/>
  <c r="P24"/>
  <c r="O21"/>
  <c r="O23"/>
  <c r="I30"/>
  <c r="I29" s="1"/>
  <c r="H32"/>
  <c r="F38"/>
  <c r="P21"/>
  <c r="P22"/>
  <c r="N28"/>
  <c r="P28" s="1"/>
  <c r="E27"/>
  <c r="N26"/>
  <c r="E25"/>
  <c r="C30"/>
  <c r="E30"/>
  <c r="I32" l="1"/>
  <c r="I31" s="1"/>
  <c r="H34"/>
  <c r="H36" s="1"/>
  <c r="M32"/>
  <c r="M31" s="1"/>
  <c r="B34"/>
  <c r="C32"/>
  <c r="E32"/>
  <c r="G32"/>
  <c r="G31" s="1"/>
  <c r="F40"/>
  <c r="L36"/>
  <c r="J36"/>
  <c r="J38" s="1"/>
  <c r="J40" s="1"/>
  <c r="K32"/>
  <c r="K31" s="1"/>
  <c r="E31"/>
  <c r="N25"/>
  <c r="P26"/>
  <c r="N27"/>
  <c r="E29"/>
  <c r="N30"/>
  <c r="J42" l="1"/>
  <c r="I36"/>
  <c r="I35" s="1"/>
  <c r="H38"/>
  <c r="I34"/>
  <c r="I33" s="1"/>
  <c r="B36"/>
  <c r="C34"/>
  <c r="E34"/>
  <c r="G34"/>
  <c r="G33" s="1"/>
  <c r="F42"/>
  <c r="L38"/>
  <c r="M36"/>
  <c r="M35" s="1"/>
  <c r="N32"/>
  <c r="P32" s="1"/>
  <c r="M34"/>
  <c r="M33" s="1"/>
  <c r="K34"/>
  <c r="K33" s="1"/>
  <c r="N29"/>
  <c r="P30"/>
  <c r="O29"/>
  <c r="J44" l="1"/>
  <c r="K36"/>
  <c r="K35" s="1"/>
  <c r="B38"/>
  <c r="I38" s="1"/>
  <c r="I37" s="1"/>
  <c r="C36"/>
  <c r="E36"/>
  <c r="G36"/>
  <c r="G35" s="1"/>
  <c r="H40"/>
  <c r="E33"/>
  <c r="N34"/>
  <c r="F44"/>
  <c r="L40"/>
  <c r="M38"/>
  <c r="M37" s="1"/>
  <c r="N31"/>
  <c r="L42" l="1"/>
  <c r="M40"/>
  <c r="M39" s="1"/>
  <c r="K38"/>
  <c r="K37" s="1"/>
  <c r="B40"/>
  <c r="C38"/>
  <c r="E38"/>
  <c r="G38"/>
  <c r="G37" s="1"/>
  <c r="E35"/>
  <c r="N36"/>
  <c r="H42"/>
  <c r="N33"/>
  <c r="P34"/>
  <c r="L44" l="1"/>
  <c r="M42"/>
  <c r="M41" s="1"/>
  <c r="B42"/>
  <c r="C40"/>
  <c r="E40"/>
  <c r="G40"/>
  <c r="G39" s="1"/>
  <c r="K40"/>
  <c r="K39" s="1"/>
  <c r="N38"/>
  <c r="E37"/>
  <c r="N35"/>
  <c r="P36"/>
  <c r="H44"/>
  <c r="I42"/>
  <c r="I41" s="1"/>
  <c r="I40"/>
  <c r="I39" s="1"/>
  <c r="C42" l="1"/>
  <c r="B44"/>
  <c r="E42"/>
  <c r="K42"/>
  <c r="K41" s="1"/>
  <c r="G42"/>
  <c r="G41" s="1"/>
  <c r="E39"/>
  <c r="N40"/>
  <c r="N37"/>
  <c r="P38"/>
  <c r="C44" l="1"/>
  <c r="E44"/>
  <c r="K44"/>
  <c r="K43" s="1"/>
  <c r="G44"/>
  <c r="G43" s="1"/>
  <c r="N39"/>
  <c r="P40"/>
  <c r="M44"/>
  <c r="M43" s="1"/>
  <c r="I44"/>
  <c r="I43" s="1"/>
  <c r="N42"/>
  <c r="E41"/>
  <c r="N44" l="1"/>
  <c r="E43"/>
  <c r="P42"/>
  <c r="N41"/>
  <c r="P44" l="1"/>
  <c r="N43"/>
</calcChain>
</file>

<file path=xl/sharedStrings.xml><?xml version="1.0" encoding="utf-8"?>
<sst xmlns="http://schemas.openxmlformats.org/spreadsheetml/2006/main" count="375" uniqueCount="173">
  <si>
    <t>Speed of light  in m/s (meters/second)</t>
  </si>
  <si>
    <t>Energy in kWh</t>
  </si>
  <si>
    <t>Energy E measured in J (Joule)</t>
  </si>
  <si>
    <t>kWh</t>
  </si>
  <si>
    <t>kg</t>
  </si>
  <si>
    <t>m/s</t>
  </si>
  <si>
    <t>J</t>
  </si>
  <si>
    <t>Wh</t>
  </si>
  <si>
    <t>of electricity in kwh per year</t>
  </si>
  <si>
    <t>Years</t>
  </si>
  <si>
    <t>Number of years to power such household</t>
  </si>
  <si>
    <t>Albert Einstein's E=mc^2 &lt;=&gt; m=E/c^2</t>
  </si>
  <si>
    <t>Mass m in kilo from m=E/c^2</t>
  </si>
  <si>
    <t>grams</t>
  </si>
  <si>
    <t>Mass m in grams from m=E/c^2</t>
  </si>
  <si>
    <t>Calculate energy given mass, m</t>
  </si>
  <si>
    <t>Calculate mass given energy, E</t>
  </si>
  <si>
    <t>Energy, E, as measured in J (Joule)</t>
  </si>
  <si>
    <t>Mass, m, in kg</t>
  </si>
  <si>
    <t>Implied conversion efficiency in E=mc^2</t>
  </si>
  <si>
    <t xml:space="preserve">Fuel type </t>
  </si>
  <si>
    <t>Coal</t>
  </si>
  <si>
    <t>Dry wood</t>
  </si>
  <si>
    <t>1 J = 0,000277778 Wh Conversion rate</t>
  </si>
  <si>
    <t>Oil (furnace oil)</t>
  </si>
  <si>
    <t>Uranium 235</t>
  </si>
  <si>
    <t>1Wh =3600 Joule</t>
  </si>
  <si>
    <t>Type of energy production</t>
  </si>
  <si>
    <t>Nuclear fission</t>
  </si>
  <si>
    <t>Nuclear fusion</t>
  </si>
  <si>
    <t>Antimatter</t>
  </si>
  <si>
    <t>Annihilation</t>
  </si>
  <si>
    <t>Gas, CH4</t>
  </si>
  <si>
    <t>calories</t>
  </si>
  <si>
    <t>Notes if any</t>
  </si>
  <si>
    <t>Cellular respiration in human</t>
  </si>
  <si>
    <t>2900 kcal needed for adult man</t>
  </si>
  <si>
    <t>1 kg coal+2.7 kg oxygen</t>
  </si>
  <si>
    <t>1 kg gas+4 kg oxygen</t>
  </si>
  <si>
    <t>1 kg of food + 0.71 kg of oxygen</t>
  </si>
  <si>
    <t>1 kg wood+1.6 kg oxygen</t>
  </si>
  <si>
    <t>1 kg oil+3.25 kg oxygen</t>
  </si>
  <si>
    <t>Aerobic respiration</t>
  </si>
  <si>
    <t>Anaerobic respiration</t>
  </si>
  <si>
    <t>Mass "burned" 1 kg of fuel plus x kg of oxygen</t>
  </si>
  <si>
    <t xml:space="preserve">I could not find a source to confirm </t>
  </si>
  <si>
    <t xml:space="preserve">respiration of 1 kg of glucose </t>
  </si>
  <si>
    <t>but it is my best "guesstimate"</t>
  </si>
  <si>
    <t>Food include some water and</t>
  </si>
  <si>
    <t>a mix of sugar, fat and protein</t>
  </si>
  <si>
    <t xml:space="preserve">Efficiency of </t>
  </si>
  <si>
    <t xml:space="preserve">more efficient than </t>
  </si>
  <si>
    <t>but no oxygen is required</t>
  </si>
  <si>
    <t>by definition</t>
  </si>
  <si>
    <t>is known to be 19=38ATP/2ATP times</t>
  </si>
  <si>
    <t>aerobic respiration</t>
  </si>
  <si>
    <t xml:space="preserve">Food, 1 kg a day </t>
  </si>
  <si>
    <t>Protein</t>
  </si>
  <si>
    <t>Carbohydrates (Glucose)</t>
  </si>
  <si>
    <t xml:space="preserve">Human cellular respiration is </t>
  </si>
  <si>
    <t xml:space="preserve">predominantly aerobic </t>
  </si>
  <si>
    <t>respiration of 1 kg of protein</t>
  </si>
  <si>
    <t>How much oxygen?</t>
  </si>
  <si>
    <t xml:space="preserve">0.91 kg of oxygen is needed for </t>
  </si>
  <si>
    <t>1 kg of glucose + 0.91 kg of oxygen</t>
  </si>
  <si>
    <t>1 kg of protein + 0.99 kg of oxygen</t>
  </si>
  <si>
    <t xml:space="preserve">0.99kg of oxygen is needed for </t>
  </si>
  <si>
    <t>Alcohol (Ethanol)</t>
  </si>
  <si>
    <t>1 kg of fat + 2.17 kg of oxygen</t>
  </si>
  <si>
    <t>Fat (Vegetable oil)</t>
  </si>
  <si>
    <t xml:space="preserve">2.17kg of oxygen is needed for </t>
  </si>
  <si>
    <t>respiration of 1 kg of fat</t>
  </si>
  <si>
    <t>1 kg of alcohol + 1.7 kg of oxygen</t>
  </si>
  <si>
    <t xml:space="preserve">1.7kg of oxygen is needed for </t>
  </si>
  <si>
    <t>respiration of 1 kg of alcohol</t>
  </si>
  <si>
    <t xml:space="preserve">Here I calculate backwards </t>
  </si>
  <si>
    <t>Google efficiency percentage</t>
  </si>
  <si>
    <t>And from that calc</t>
  </si>
  <si>
    <t>implied mass and energy</t>
  </si>
  <si>
    <t>Energy, E, as measured in J (Joule) E=mc^2</t>
  </si>
  <si>
    <t xml:space="preserve">only 9% as efficient as hydrogen </t>
  </si>
  <si>
    <t>fusion</t>
  </si>
  <si>
    <t>Proprietary. © H. Mathiesen. This material can be used by others free of charge provided that the author H. Mathiesen is attributed and a clickable link is made visible to the location of used material on www.hmexperience.dk</t>
  </si>
  <si>
    <t>Black hole accretion</t>
  </si>
  <si>
    <t>Any matter even antimatter will do</t>
  </si>
  <si>
    <t>3He  to C (Helium fusion star)</t>
  </si>
  <si>
    <t>4H-1  to He (Hydrogen fusion star)</t>
  </si>
  <si>
    <t>Deuterium H-2 and tritium H-3</t>
  </si>
  <si>
    <t>convert 40% of matter to energy</t>
  </si>
  <si>
    <t>Black hole Hawking radiation</t>
  </si>
  <si>
    <t>Mass of black hole itself</t>
  </si>
  <si>
    <t>radiation and if true it is 100% efficient</t>
  </si>
  <si>
    <t xml:space="preserve">and max 29% of energy can be harvested </t>
  </si>
  <si>
    <t>see link on www.hmexperience.dk</t>
  </si>
  <si>
    <t xml:space="preserve">Typical US household consumption </t>
  </si>
  <si>
    <t>Chemical combustion</t>
  </si>
  <si>
    <t>J/calorie</t>
  </si>
  <si>
    <t>Rotating black hole and super radiant scattering of light</t>
  </si>
  <si>
    <t xml:space="preserve">I goggled that helium fusion is </t>
  </si>
  <si>
    <t xml:space="preserve">I goggled that black hole accretion is </t>
  </si>
  <si>
    <t>I goggled black hole Hawking</t>
  </si>
  <si>
    <t xml:space="preserve">I goggled rotating black hole </t>
  </si>
  <si>
    <t>Sources to all information used in this spreadsheet can also be found in associated PowerPoint presentation located also at www.hmexperience.dk</t>
  </si>
  <si>
    <t>Most efficient production of biomass using photosynthesis</t>
  </si>
  <si>
    <t>Typical efficiency of electric generators</t>
  </si>
  <si>
    <t>Mechanical efficiency of typical steam engine</t>
  </si>
  <si>
    <t>Electric efficiency of steam engine genrator</t>
  </si>
  <si>
    <t>Electric efficiency of steam engine genrator adjusted for efficiency of making fuel</t>
  </si>
  <si>
    <t>Mechanical efficiency of typical internal cumbustion engine</t>
  </si>
  <si>
    <t>Electric efficiency of combustion engine genrator</t>
  </si>
  <si>
    <t>Electric efficiency of steam turbine genrator</t>
  </si>
  <si>
    <t>Electric efficiency of gas turbine genrator</t>
  </si>
  <si>
    <t>Electric efficiency of gas turbine genrator adjusted for efficiency of making fuel</t>
  </si>
  <si>
    <t>Electric efficiency of steam turbine genrator adjusted for efficiency of making fuel</t>
  </si>
  <si>
    <t>Electric efficiency of combustion engine genrator adjusted for efficiency of making fuel</t>
  </si>
  <si>
    <t>Global electricity production</t>
  </si>
  <si>
    <t xml:space="preserve">Electricity production  technology </t>
  </si>
  <si>
    <t xml:space="preserve">Solar power </t>
  </si>
  <si>
    <t xml:space="preserve">Wind power </t>
  </si>
  <si>
    <t xml:space="preserve">Hydro power </t>
  </si>
  <si>
    <t>Geothermal power</t>
  </si>
  <si>
    <t xml:space="preserve">Biomass power </t>
  </si>
  <si>
    <t xml:space="preserve">Coal power </t>
  </si>
  <si>
    <t xml:space="preserve">Gas power </t>
  </si>
  <si>
    <t>Old data year</t>
  </si>
  <si>
    <t xml:space="preserve">Latest data year </t>
  </si>
  <si>
    <t>Installed capacity latest year in GW</t>
  </si>
  <si>
    <t>Installed capacity old year in GW</t>
  </si>
  <si>
    <t>Capacity factor</t>
  </si>
  <si>
    <t>Percentage of global kWh produced</t>
  </si>
  <si>
    <t>kWh produced in latest year</t>
  </si>
  <si>
    <t>Potential solar power Earth (1)</t>
  </si>
  <si>
    <t>Notes</t>
  </si>
  <si>
    <t xml:space="preserve">Global (electric) power </t>
  </si>
  <si>
    <t>Annual growth rate in installed capacity or kWh</t>
  </si>
  <si>
    <t>kWh produced in old year</t>
  </si>
  <si>
    <t>Total sustainable power</t>
  </si>
  <si>
    <t>-</t>
  </si>
  <si>
    <t>Oil power and other</t>
  </si>
  <si>
    <t>Potential wind power Earth (2)</t>
  </si>
  <si>
    <t>1) The 0.25% capacity factor is not a capacity factor but instead the assumed efficiency of 25% for a solar panel that cover a maximum of 1% of the planet surface so 0.25%=25%*1%. Also 122 PetaW capacity is the absorbed solarpower by Earth after reflecting 30% of the energy</t>
  </si>
  <si>
    <t>Total non-sustainable power</t>
  </si>
  <si>
    <t>2) Earth has 196.9 million square miles. Put 1 windturbine at 10MW for every 10 square miles and you get a potential wind capacity of 196,900.0 GW</t>
  </si>
  <si>
    <t>Nuclear power, fission</t>
  </si>
  <si>
    <t>Nuclear power, fusion</t>
  </si>
  <si>
    <t>Alt old data year</t>
  </si>
  <si>
    <t>Growth % next years</t>
  </si>
  <si>
    <t xml:space="preserve">Global </t>
  </si>
  <si>
    <t>share</t>
  </si>
  <si>
    <t>Solar</t>
  </si>
  <si>
    <t xml:space="preserve">Wind </t>
  </si>
  <si>
    <t>Sustainable</t>
  </si>
  <si>
    <t xml:space="preserve">Non-sustainable </t>
  </si>
  <si>
    <t xml:space="preserve">Global electric power </t>
  </si>
  <si>
    <t>Biomass</t>
  </si>
  <si>
    <t>Geothermal</t>
  </si>
  <si>
    <t>Hydro</t>
  </si>
  <si>
    <t>power share</t>
  </si>
  <si>
    <t>Production</t>
  </si>
  <si>
    <t>power</t>
  </si>
  <si>
    <t>Consumption, kWh</t>
  </si>
  <si>
    <t>Total global</t>
  </si>
  <si>
    <t>Year</t>
  </si>
  <si>
    <t>Annual growth rate in produced kWh</t>
  </si>
  <si>
    <t>Calculating efficiencies in power point presentation slide 23</t>
  </si>
  <si>
    <t>Mechanical efficiency of modern off the shelf steam turbine powered by fuel</t>
  </si>
  <si>
    <t>Mechanical efficiency of modern steam turbine powered by concentrated sun light</t>
  </si>
  <si>
    <t>Mechanical efficiency of typical combined cycle gas/steam turbine</t>
  </si>
  <si>
    <t>Production, kWh</t>
  </si>
  <si>
    <t xml:space="preserve">(Sum of </t>
  </si>
  <si>
    <t>shares)</t>
  </si>
  <si>
    <t>(residual share</t>
  </si>
  <si>
    <t>or given share)</t>
  </si>
</sst>
</file>

<file path=xl/styles.xml><?xml version="1.0" encoding="utf-8"?>
<styleSheet xmlns="http://schemas.openxmlformats.org/spreadsheetml/2006/main">
  <numFmts count="4">
    <numFmt numFmtId="164" formatCode="0.000000000"/>
    <numFmt numFmtId="165" formatCode="0.000000000000"/>
    <numFmt numFmtId="166" formatCode="0.000000000000%"/>
    <numFmt numFmtId="167" formatCode="#,##0.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6"/>
      <color rgb="FFFFFFFF"/>
      <name val="Calibri"/>
    </font>
    <font>
      <b/>
      <sz val="15"/>
      <color rgb="FFFFFFFF"/>
      <name val="Calibri"/>
    </font>
    <font>
      <b/>
      <sz val="14"/>
      <color rgb="FFFFFFFF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14"/>
      <color rgb="FFFFFFFF"/>
      <name val="Calibri"/>
      <family val="2"/>
    </font>
    <font>
      <b/>
      <sz val="13"/>
      <color rgb="FFFFFFFF"/>
      <name val="Calibri"/>
      <family val="2"/>
    </font>
    <font>
      <sz val="20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202122"/>
      <name val="Calibri"/>
      <family val="2"/>
      <scheme val="minor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right"/>
    </xf>
    <xf numFmtId="0" fontId="0" fillId="2" borderId="0" xfId="0" applyFill="1"/>
    <xf numFmtId="3" fontId="0" fillId="2" borderId="0" xfId="0" applyNumberFormat="1" applyFill="1"/>
    <xf numFmtId="4" fontId="1" fillId="0" borderId="0" xfId="0" applyNumberFormat="1" applyFont="1"/>
    <xf numFmtId="3" fontId="1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" fillId="3" borderId="0" xfId="0" applyFont="1" applyFill="1"/>
    <xf numFmtId="165" fontId="1" fillId="0" borderId="0" xfId="0" applyNumberFormat="1" applyFont="1"/>
    <xf numFmtId="0" fontId="2" fillId="0" borderId="0" xfId="0" applyFont="1"/>
    <xf numFmtId="0" fontId="1" fillId="0" borderId="0" xfId="0" applyFont="1" applyFill="1"/>
    <xf numFmtId="3" fontId="0" fillId="0" borderId="0" xfId="0" applyNumberFormat="1"/>
    <xf numFmtId="9" fontId="1" fillId="0" borderId="0" xfId="0" applyNumberFormat="1" applyFont="1"/>
    <xf numFmtId="166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0" applyFont="1"/>
    <xf numFmtId="166" fontId="1" fillId="0" borderId="0" xfId="0" applyNumberFormat="1" applyFont="1"/>
    <xf numFmtId="0" fontId="4" fillId="0" borderId="0" xfId="0" applyFont="1"/>
    <xf numFmtId="2" fontId="1" fillId="0" borderId="0" xfId="0" applyNumberFormat="1" applyFont="1"/>
    <xf numFmtId="0" fontId="5" fillId="0" borderId="0" xfId="0" applyFont="1"/>
    <xf numFmtId="10" fontId="0" fillId="0" borderId="0" xfId="0" applyNumberFormat="1"/>
    <xf numFmtId="10" fontId="1" fillId="0" borderId="0" xfId="0" applyNumberFormat="1" applyFont="1"/>
    <xf numFmtId="0" fontId="1" fillId="2" borderId="0" xfId="0" applyFont="1" applyFill="1"/>
    <xf numFmtId="0" fontId="13" fillId="0" borderId="0" xfId="0" applyFont="1"/>
    <xf numFmtId="0" fontId="6" fillId="4" borderId="2" xfId="0" applyFont="1" applyFill="1" applyBorder="1" applyAlignment="1">
      <alignment horizontal="left" vertical="top" wrapText="1" readingOrder="1"/>
    </xf>
    <xf numFmtId="0" fontId="7" fillId="4" borderId="2" xfId="0" applyFont="1" applyFill="1" applyBorder="1" applyAlignment="1">
      <alignment horizontal="left" vertical="top" wrapText="1" readingOrder="1"/>
    </xf>
    <xf numFmtId="0" fontId="8" fillId="4" borderId="2" xfId="0" applyFont="1" applyFill="1" applyBorder="1" applyAlignment="1">
      <alignment horizontal="left" vertical="top" wrapText="1" readingOrder="1"/>
    </xf>
    <xf numFmtId="0" fontId="11" fillId="4" borderId="2" xfId="0" applyFont="1" applyFill="1" applyBorder="1" applyAlignment="1">
      <alignment horizontal="left" vertical="top" wrapText="1" readingOrder="1"/>
    </xf>
    <xf numFmtId="0" fontId="12" fillId="4" borderId="2" xfId="0" applyFont="1" applyFill="1" applyBorder="1" applyAlignment="1">
      <alignment horizontal="left" vertical="top" wrapText="1" readingOrder="1"/>
    </xf>
    <xf numFmtId="0" fontId="9" fillId="0" borderId="1" xfId="0" applyFont="1" applyFill="1" applyBorder="1" applyAlignment="1">
      <alignment horizontal="left" vertical="top" wrapText="1" readingOrder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 readingOrder="1"/>
    </xf>
    <xf numFmtId="3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 readingOrder="1"/>
    </xf>
    <xf numFmtId="10" fontId="10" fillId="0" borderId="1" xfId="0" applyNumberFormat="1" applyFont="1" applyFill="1" applyBorder="1" applyAlignment="1">
      <alignment vertical="top" wrapText="1" readingOrder="1"/>
    </xf>
    <xf numFmtId="3" fontId="10" fillId="0" borderId="1" xfId="0" applyNumberFormat="1" applyFont="1" applyFill="1" applyBorder="1" applyAlignment="1">
      <alignment vertical="top" wrapText="1" readingOrder="1"/>
    </xf>
    <xf numFmtId="0" fontId="14" fillId="0" borderId="0" xfId="0" applyFont="1" applyFill="1" applyBorder="1" applyAlignment="1">
      <alignment horizontal="left" vertical="top" wrapText="1" readingOrder="1"/>
    </xf>
    <xf numFmtId="10" fontId="10" fillId="0" borderId="1" xfId="0" applyNumberFormat="1" applyFont="1" applyFill="1" applyBorder="1" applyAlignment="1">
      <alignment vertical="top" wrapText="1"/>
    </xf>
    <xf numFmtId="3" fontId="15" fillId="0" borderId="0" xfId="0" applyNumberFormat="1" applyFont="1"/>
    <xf numFmtId="3" fontId="16" fillId="0" borderId="1" xfId="0" applyNumberFormat="1" applyFont="1" applyFill="1" applyBorder="1" applyAlignment="1">
      <alignment horizontal="right" vertical="top" wrapText="1" readingOrder="1"/>
    </xf>
    <xf numFmtId="10" fontId="16" fillId="0" borderId="1" xfId="0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right" vertical="top" wrapText="1"/>
    </xf>
    <xf numFmtId="10" fontId="16" fillId="0" borderId="1" xfId="0" applyNumberFormat="1" applyFont="1" applyFill="1" applyBorder="1" applyAlignment="1">
      <alignment horizontal="right" vertical="top" wrapText="1"/>
    </xf>
    <xf numFmtId="3" fontId="16" fillId="0" borderId="1" xfId="0" applyNumberFormat="1" applyFont="1" applyFill="1" applyBorder="1" applyAlignment="1">
      <alignment vertical="top" wrapText="1"/>
    </xf>
    <xf numFmtId="167" fontId="10" fillId="0" borderId="1" xfId="0" applyNumberFormat="1" applyFont="1" applyFill="1" applyBorder="1" applyAlignment="1">
      <alignment vertical="top" wrapText="1"/>
    </xf>
    <xf numFmtId="167" fontId="16" fillId="0" borderId="1" xfId="0" applyNumberFormat="1" applyFont="1" applyFill="1" applyBorder="1" applyAlignment="1">
      <alignment vertical="top" wrapText="1"/>
    </xf>
    <xf numFmtId="167" fontId="10" fillId="0" borderId="1" xfId="0" applyNumberFormat="1" applyFont="1" applyFill="1" applyBorder="1" applyAlignment="1">
      <alignment vertical="top" wrapText="1" readingOrder="1"/>
    </xf>
    <xf numFmtId="0" fontId="9" fillId="5" borderId="1" xfId="0" applyFont="1" applyFill="1" applyBorder="1" applyAlignment="1">
      <alignment horizontal="left" vertical="top" wrapText="1" readingOrder="1"/>
    </xf>
    <xf numFmtId="167" fontId="16" fillId="5" borderId="1" xfId="0" applyNumberFormat="1" applyFont="1" applyFill="1" applyBorder="1" applyAlignment="1">
      <alignment vertical="top" wrapText="1"/>
    </xf>
    <xf numFmtId="3" fontId="16" fillId="5" borderId="1" xfId="0" applyNumberFormat="1" applyFont="1" applyFill="1" applyBorder="1" applyAlignment="1">
      <alignment vertical="top" wrapText="1"/>
    </xf>
    <xf numFmtId="3" fontId="16" fillId="5" borderId="1" xfId="0" applyNumberFormat="1" applyFont="1" applyFill="1" applyBorder="1" applyAlignment="1">
      <alignment horizontal="right" vertical="top" wrapText="1" readingOrder="1"/>
    </xf>
    <xf numFmtId="0" fontId="10" fillId="0" borderId="1" xfId="0" applyFont="1" applyFill="1" applyBorder="1" applyAlignment="1">
      <alignment horizontal="right" vertical="top" wrapText="1"/>
    </xf>
    <xf numFmtId="167" fontId="10" fillId="0" borderId="1" xfId="0" applyNumberFormat="1" applyFont="1" applyFill="1" applyBorder="1" applyAlignment="1">
      <alignment horizontal="right" vertical="top" wrapText="1"/>
    </xf>
    <xf numFmtId="10" fontId="10" fillId="0" borderId="1" xfId="0" applyNumberFormat="1" applyFont="1" applyFill="1" applyBorder="1" applyAlignment="1">
      <alignment horizontal="right"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3" fontId="16" fillId="0" borderId="1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17" fillId="0" borderId="0" xfId="0" applyFont="1" applyFill="1" applyBorder="1" applyAlignment="1">
      <alignment horizontal="left" vertical="top" readingOrder="1"/>
    </xf>
    <xf numFmtId="0" fontId="14" fillId="6" borderId="1" xfId="0" applyFont="1" applyFill="1" applyBorder="1" applyAlignment="1">
      <alignment horizontal="left" vertical="top" wrapText="1" readingOrder="1"/>
    </xf>
    <xf numFmtId="0" fontId="10" fillId="6" borderId="1" xfId="0" applyFont="1" applyFill="1" applyBorder="1" applyAlignment="1">
      <alignment horizontal="right" vertical="top" wrapText="1"/>
    </xf>
    <xf numFmtId="167" fontId="10" fillId="6" borderId="1" xfId="0" applyNumberFormat="1" applyFont="1" applyFill="1" applyBorder="1" applyAlignment="1">
      <alignment horizontal="right" vertical="top" wrapText="1"/>
    </xf>
    <xf numFmtId="10" fontId="10" fillId="6" borderId="1" xfId="0" applyNumberFormat="1" applyFont="1" applyFill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6" fillId="6" borderId="1" xfId="0" applyNumberFormat="1" applyFont="1" applyFill="1" applyBorder="1" applyAlignment="1">
      <alignment horizontal="right" vertical="top" wrapText="1"/>
    </xf>
    <xf numFmtId="167" fontId="16" fillId="0" borderId="1" xfId="0" applyNumberFormat="1" applyFont="1" applyFill="1" applyBorder="1" applyAlignment="1">
      <alignment horizontal="right" vertical="top" wrapText="1"/>
    </xf>
    <xf numFmtId="167" fontId="16" fillId="5" borderId="1" xfId="0" applyNumberFormat="1" applyFont="1" applyFill="1" applyBorder="1" applyAlignment="1">
      <alignment horizontal="right" vertical="top" wrapText="1"/>
    </xf>
    <xf numFmtId="0" fontId="16" fillId="5" borderId="1" xfId="0" applyFont="1" applyFill="1" applyBorder="1" applyAlignment="1">
      <alignment horizontal="right" vertical="top" wrapText="1"/>
    </xf>
    <xf numFmtId="10" fontId="16" fillId="5" borderId="1" xfId="0" applyNumberFormat="1" applyFont="1" applyFill="1" applyBorder="1" applyAlignment="1">
      <alignment horizontal="right" vertical="top" wrapText="1"/>
    </xf>
    <xf numFmtId="10" fontId="14" fillId="5" borderId="1" xfId="0" applyNumberFormat="1" applyFont="1" applyFill="1" applyBorder="1" applyAlignment="1">
      <alignment vertical="top" wrapText="1"/>
    </xf>
    <xf numFmtId="10" fontId="14" fillId="6" borderId="1" xfId="0" applyNumberFormat="1" applyFont="1" applyFill="1" applyBorder="1" applyAlignment="1">
      <alignment vertical="top" wrapText="1"/>
    </xf>
    <xf numFmtId="0" fontId="18" fillId="0" borderId="0" xfId="0" applyFont="1"/>
    <xf numFmtId="3" fontId="19" fillId="0" borderId="0" xfId="0" applyNumberFormat="1" applyFont="1"/>
    <xf numFmtId="0" fontId="1" fillId="7" borderId="0" xfId="0" applyFont="1" applyFill="1"/>
    <xf numFmtId="0" fontId="1" fillId="8" borderId="0" xfId="0" applyFont="1" applyFill="1"/>
    <xf numFmtId="10" fontId="1" fillId="8" borderId="0" xfId="0" applyNumberFormat="1" applyFont="1" applyFill="1"/>
    <xf numFmtId="0" fontId="0" fillId="8" borderId="0" xfId="0" applyFill="1"/>
    <xf numFmtId="0" fontId="1" fillId="9" borderId="0" xfId="0" applyFont="1" applyFill="1"/>
    <xf numFmtId="0" fontId="0" fillId="9" borderId="0" xfId="0" applyFill="1"/>
    <xf numFmtId="10" fontId="0" fillId="9" borderId="0" xfId="0" applyNumberFormat="1" applyFill="1"/>
    <xf numFmtId="0" fontId="0" fillId="3" borderId="0" xfId="0" applyFill="1"/>
    <xf numFmtId="10" fontId="0" fillId="8" borderId="0" xfId="0" applyNumberFormat="1" applyFont="1" applyFill="1"/>
    <xf numFmtId="10" fontId="1" fillId="9" borderId="0" xfId="0" applyNumberFormat="1" applyFont="1" applyFill="1"/>
    <xf numFmtId="10" fontId="1" fillId="3" borderId="0" xfId="0" applyNumberFormat="1" applyFont="1" applyFill="1"/>
    <xf numFmtId="0" fontId="0" fillId="7" borderId="0" xfId="0" applyFill="1"/>
    <xf numFmtId="10" fontId="0" fillId="7" borderId="0" xfId="0" applyNumberFormat="1" applyFill="1"/>
    <xf numFmtId="10" fontId="0" fillId="3" borderId="0" xfId="0" applyNumberFormat="1" applyFont="1" applyFill="1"/>
    <xf numFmtId="0" fontId="1" fillId="10" borderId="0" xfId="0" applyFont="1" applyFill="1"/>
    <xf numFmtId="0" fontId="0" fillId="10" borderId="0" xfId="0" applyFill="1"/>
    <xf numFmtId="10" fontId="1" fillId="7" borderId="0" xfId="0" applyNumberFormat="1" applyFont="1" applyFill="1"/>
    <xf numFmtId="10" fontId="0" fillId="7" borderId="0" xfId="0" applyNumberFormat="1" applyFont="1" applyFill="1"/>
    <xf numFmtId="0" fontId="1" fillId="11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1"/>
  <sheetViews>
    <sheetView topLeftCell="A71" workbookViewId="0">
      <selection activeCell="D108" sqref="D108"/>
    </sheetView>
  </sheetViews>
  <sheetFormatPr defaultRowHeight="14.5"/>
  <cols>
    <col min="1" max="1" width="51.6328125" customWidth="1"/>
    <col min="2" max="2" width="23.26953125" customWidth="1"/>
    <col min="3" max="3" width="9.36328125" customWidth="1"/>
    <col min="4" max="4" width="24.08984375" customWidth="1"/>
    <col min="5" max="5" width="9.7265625" customWidth="1"/>
    <col min="6" max="6" width="24" customWidth="1"/>
    <col min="7" max="7" width="9.1796875" customWidth="1"/>
    <col min="8" max="8" width="22" customWidth="1"/>
    <col min="9" max="9" width="9.6328125" customWidth="1"/>
    <col min="10" max="10" width="21.26953125" customWidth="1"/>
    <col min="11" max="11" width="9.453125" customWidth="1"/>
    <col min="12" max="12" width="21.81640625" customWidth="1"/>
    <col min="13" max="13" width="8.7265625" customWidth="1"/>
    <col min="14" max="14" width="25" customWidth="1"/>
  </cols>
  <sheetData>
    <row r="2" spans="1:3" ht="26">
      <c r="A2" s="11" t="s">
        <v>11</v>
      </c>
    </row>
    <row r="3" spans="1:3" ht="15.5">
      <c r="A3" s="21" t="s">
        <v>82</v>
      </c>
    </row>
    <row r="4" spans="1:3" ht="15.5">
      <c r="A4" s="21" t="s">
        <v>102</v>
      </c>
    </row>
    <row r="6" spans="1:3">
      <c r="A6" s="9" t="s">
        <v>15</v>
      </c>
    </row>
    <row r="8" spans="1:3">
      <c r="A8" s="3" t="s">
        <v>18</v>
      </c>
      <c r="B8" s="3">
        <v>1</v>
      </c>
      <c r="C8" s="3" t="s">
        <v>4</v>
      </c>
    </row>
    <row r="9" spans="1:3">
      <c r="A9" s="7" t="s">
        <v>0</v>
      </c>
      <c r="B9" s="8">
        <v>299792458</v>
      </c>
      <c r="C9" s="7" t="s">
        <v>5</v>
      </c>
    </row>
    <row r="11" spans="1:3">
      <c r="A11" s="1" t="s">
        <v>2</v>
      </c>
      <c r="B11" s="1">
        <f>B8*B9^2</f>
        <v>8.987551787368176E+16</v>
      </c>
      <c r="C11" s="1" t="s">
        <v>6</v>
      </c>
    </row>
    <row r="14" spans="1:3">
      <c r="A14" t="s">
        <v>23</v>
      </c>
      <c r="B14" s="2">
        <v>2.7777800000000001E-4</v>
      </c>
      <c r="C14" t="s">
        <v>7</v>
      </c>
    </row>
    <row r="15" spans="1:3">
      <c r="A15" t="s">
        <v>26</v>
      </c>
      <c r="B15" s="16">
        <v>3600</v>
      </c>
      <c r="C15" t="s">
        <v>6</v>
      </c>
    </row>
    <row r="17" spans="1:13">
      <c r="A17" s="1" t="s">
        <v>1</v>
      </c>
      <c r="B17" s="6">
        <f>(B11*B14)/1000</f>
        <v>24965441603.915573</v>
      </c>
      <c r="C17" s="1" t="s">
        <v>3</v>
      </c>
    </row>
    <row r="19" spans="1:13">
      <c r="A19" s="3" t="s">
        <v>94</v>
      </c>
      <c r="B19" s="3"/>
      <c r="C19" s="3"/>
    </row>
    <row r="20" spans="1:13">
      <c r="A20" s="3" t="s">
        <v>8</v>
      </c>
      <c r="B20" s="3">
        <v>11000</v>
      </c>
      <c r="C20" s="3" t="s">
        <v>3</v>
      </c>
    </row>
    <row r="22" spans="1:13">
      <c r="A22" s="1" t="s">
        <v>10</v>
      </c>
      <c r="B22" s="5">
        <f>B17/B20</f>
        <v>2269585.6003559614</v>
      </c>
      <c r="C22" s="1" t="s">
        <v>9</v>
      </c>
    </row>
    <row r="23" spans="1:13">
      <c r="A23" s="1" t="s">
        <v>19</v>
      </c>
      <c r="B23" s="14">
        <v>1</v>
      </c>
    </row>
    <row r="26" spans="1:13">
      <c r="A26" s="9" t="s">
        <v>16</v>
      </c>
    </row>
    <row r="27" spans="1:13">
      <c r="A27" s="12" t="s">
        <v>27</v>
      </c>
      <c r="B27" s="1" t="s">
        <v>95</v>
      </c>
      <c r="C27" s="1"/>
      <c r="D27" s="1" t="s">
        <v>95</v>
      </c>
      <c r="E27" s="1"/>
      <c r="F27" s="1" t="s">
        <v>95</v>
      </c>
      <c r="G27" s="1"/>
      <c r="H27" s="1" t="s">
        <v>28</v>
      </c>
      <c r="I27" s="1"/>
      <c r="J27" s="1" t="s">
        <v>29</v>
      </c>
      <c r="K27" s="1"/>
      <c r="L27" s="1" t="s">
        <v>31</v>
      </c>
    </row>
    <row r="28" spans="1:13" ht="15.5">
      <c r="A28" s="12" t="s">
        <v>20</v>
      </c>
      <c r="B28" s="1" t="s">
        <v>21</v>
      </c>
      <c r="C28" s="1"/>
      <c r="D28" s="1" t="s">
        <v>22</v>
      </c>
      <c r="E28" s="1"/>
      <c r="F28" s="1" t="s">
        <v>24</v>
      </c>
      <c r="G28" s="1"/>
      <c r="H28" s="1" t="s">
        <v>25</v>
      </c>
      <c r="J28" s="17" t="s">
        <v>87</v>
      </c>
      <c r="L28" s="1" t="s">
        <v>30</v>
      </c>
    </row>
    <row r="29" spans="1:13">
      <c r="A29" s="12" t="s">
        <v>44</v>
      </c>
      <c r="B29">
        <v>3.7</v>
      </c>
      <c r="C29" t="s">
        <v>4</v>
      </c>
      <c r="D29">
        <v>2.6</v>
      </c>
      <c r="E29" t="str">
        <f>C29</f>
        <v>kg</v>
      </c>
      <c r="F29">
        <v>4.25</v>
      </c>
      <c r="G29" t="str">
        <f>E29</f>
        <v>kg</v>
      </c>
      <c r="H29">
        <v>1</v>
      </c>
      <c r="I29" t="str">
        <f>G29</f>
        <v>kg</v>
      </c>
      <c r="J29">
        <v>1</v>
      </c>
      <c r="K29" t="str">
        <f>I29</f>
        <v>kg</v>
      </c>
      <c r="L29">
        <v>1</v>
      </c>
      <c r="M29" t="str">
        <f>K29</f>
        <v>kg</v>
      </c>
    </row>
    <row r="30" spans="1:13">
      <c r="A30" s="12"/>
    </row>
    <row r="31" spans="1:13">
      <c r="A31" s="7"/>
      <c r="B31" s="1"/>
      <c r="C31" s="1"/>
    </row>
    <row r="32" spans="1:13">
      <c r="A32" s="3" t="s">
        <v>17</v>
      </c>
      <c r="B32" s="4">
        <v>29300000</v>
      </c>
      <c r="C32" s="4" t="s">
        <v>6</v>
      </c>
      <c r="D32" s="4">
        <v>19000000</v>
      </c>
      <c r="E32" s="4" t="s">
        <v>6</v>
      </c>
      <c r="F32" s="4">
        <v>41868000</v>
      </c>
      <c r="G32" s="4" t="s">
        <v>6</v>
      </c>
      <c r="H32" s="4">
        <f>H34*1000*B15</f>
        <v>86400000000000</v>
      </c>
      <c r="I32" s="3" t="s">
        <v>6</v>
      </c>
      <c r="J32" s="4">
        <v>419000000000000</v>
      </c>
      <c r="K32" s="3" t="s">
        <v>6</v>
      </c>
      <c r="L32" s="4">
        <f>B11</f>
        <v>8.987551787368176E+16</v>
      </c>
      <c r="M32" s="3" t="s">
        <v>6</v>
      </c>
    </row>
    <row r="34" spans="1:15">
      <c r="A34" s="1" t="s">
        <v>1</v>
      </c>
      <c r="B34" s="5">
        <f>($B$14*B32)/1000</f>
        <v>8.1388954000000009</v>
      </c>
      <c r="C34" s="1" t="s">
        <v>3</v>
      </c>
      <c r="D34" s="5">
        <f>($B$14*D32)/1000</f>
        <v>5.2777820000000002</v>
      </c>
      <c r="E34" s="1" t="s">
        <v>3</v>
      </c>
      <c r="F34" s="5">
        <f>($B$14*F32)/1000</f>
        <v>11.630009304000001</v>
      </c>
      <c r="G34" s="1" t="s">
        <v>3</v>
      </c>
      <c r="H34" s="5">
        <v>24000000</v>
      </c>
      <c r="I34" s="1" t="s">
        <v>3</v>
      </c>
      <c r="J34" s="5">
        <f>($B$14*J32)/1000</f>
        <v>116388982</v>
      </c>
      <c r="K34" s="1" t="s">
        <v>3</v>
      </c>
      <c r="L34" s="5">
        <f>($B$14*L32)/1000</f>
        <v>24965441603.915573</v>
      </c>
      <c r="M34" s="1" t="s">
        <v>3</v>
      </c>
    </row>
    <row r="36" spans="1:15">
      <c r="A36" s="1" t="s">
        <v>12</v>
      </c>
      <c r="B36" s="10">
        <f>B32/($B9^2)</f>
        <v>3.260064664237102E-10</v>
      </c>
      <c r="C36" s="1" t="s">
        <v>4</v>
      </c>
      <c r="D36" s="10">
        <f>D32/($B9^2)</f>
        <v>2.1140351065018752E-10</v>
      </c>
      <c r="E36" s="1" t="s">
        <v>4</v>
      </c>
      <c r="F36" s="10">
        <f>F32/($B9^2)</f>
        <v>4.6584432546852901E-10</v>
      </c>
      <c r="G36" s="1" t="s">
        <v>4</v>
      </c>
      <c r="H36" s="10">
        <f>H32/($B9^2)</f>
        <v>9.6132964843032638E-4</v>
      </c>
      <c r="I36" s="1" t="s">
        <v>4</v>
      </c>
      <c r="J36" s="10">
        <f>J32/($B9^2)</f>
        <v>4.6620037348646618E-3</v>
      </c>
      <c r="K36" s="1" t="s">
        <v>4</v>
      </c>
      <c r="L36" s="10">
        <f>L32/($B9^2)</f>
        <v>1</v>
      </c>
      <c r="M36" s="1" t="s">
        <v>4</v>
      </c>
    </row>
    <row r="37" spans="1:15">
      <c r="A37" s="1" t="s">
        <v>14</v>
      </c>
      <c r="B37" s="10">
        <f>B36*1000</f>
        <v>3.2600646642371022E-7</v>
      </c>
      <c r="C37" s="1" t="s">
        <v>13</v>
      </c>
      <c r="D37" s="10">
        <f>D36*1000</f>
        <v>2.1140351065018752E-7</v>
      </c>
      <c r="E37" s="1" t="s">
        <v>13</v>
      </c>
      <c r="F37" s="10">
        <f>F36*1000</f>
        <v>4.6584432546852898E-7</v>
      </c>
      <c r="G37" s="1" t="s">
        <v>13</v>
      </c>
      <c r="H37" s="10">
        <f>H36*1000</f>
        <v>0.96132964843032642</v>
      </c>
      <c r="I37" s="1" t="s">
        <v>13</v>
      </c>
      <c r="J37" s="10">
        <f>J36*1000</f>
        <v>4.6620037348646619</v>
      </c>
      <c r="K37" s="1" t="s">
        <v>13</v>
      </c>
      <c r="L37" s="10">
        <f>L36*1000</f>
        <v>1000</v>
      </c>
      <c r="M37" s="1" t="s">
        <v>13</v>
      </c>
    </row>
    <row r="39" spans="1:15">
      <c r="A39" s="1" t="s">
        <v>19</v>
      </c>
      <c r="B39" s="18">
        <f>B36/B29</f>
        <v>8.8109855790191946E-11</v>
      </c>
      <c r="C39" s="18"/>
      <c r="D39" s="18">
        <f>D36/D29</f>
        <v>8.1309042557764427E-11</v>
      </c>
      <c r="E39" s="18"/>
      <c r="F39" s="18">
        <f>F36/F29</f>
        <v>1.0961042952200682E-10</v>
      </c>
      <c r="G39" s="18"/>
      <c r="H39" s="18">
        <f>H36/H29</f>
        <v>9.6132964843032638E-4</v>
      </c>
      <c r="I39" s="18"/>
      <c r="J39" s="18">
        <f>J36/J29</f>
        <v>4.6620037348646618E-3</v>
      </c>
      <c r="K39" s="15"/>
      <c r="L39" s="18">
        <f>L36/L29</f>
        <v>1</v>
      </c>
      <c r="M39" s="15"/>
    </row>
    <row r="40" spans="1:15">
      <c r="A40" s="1"/>
      <c r="B40" s="18"/>
      <c r="C40" s="18"/>
      <c r="D40" s="18"/>
      <c r="E40" s="18"/>
      <c r="F40" s="18"/>
      <c r="G40" s="18"/>
      <c r="H40" s="18"/>
      <c r="I40" s="18"/>
      <c r="J40" s="18"/>
      <c r="K40" s="15"/>
      <c r="L40" s="18"/>
      <c r="M40" s="15"/>
    </row>
    <row r="41" spans="1:15">
      <c r="A41" s="1" t="s">
        <v>34</v>
      </c>
      <c r="B41" t="s">
        <v>37</v>
      </c>
      <c r="C41" s="18"/>
      <c r="D41" t="s">
        <v>40</v>
      </c>
      <c r="E41" s="18"/>
      <c r="F41" t="s">
        <v>41</v>
      </c>
      <c r="G41" s="18"/>
      <c r="H41" s="18"/>
      <c r="I41" s="18"/>
      <c r="J41" s="18"/>
      <c r="K41" s="15"/>
      <c r="L41" s="18"/>
      <c r="M41" s="15"/>
    </row>
    <row r="44" spans="1:15">
      <c r="A44" s="9" t="s">
        <v>16</v>
      </c>
    </row>
    <row r="45" spans="1:15">
      <c r="A45" s="12" t="s">
        <v>27</v>
      </c>
      <c r="B45" s="1" t="s">
        <v>95</v>
      </c>
      <c r="C45" s="1"/>
      <c r="D45" s="1" t="s">
        <v>35</v>
      </c>
      <c r="E45" s="1"/>
      <c r="F45" s="19" t="s">
        <v>42</v>
      </c>
      <c r="G45" s="1"/>
      <c r="H45" s="19" t="s">
        <v>43</v>
      </c>
      <c r="I45" s="1"/>
      <c r="J45" s="19" t="s">
        <v>42</v>
      </c>
      <c r="K45" s="1"/>
      <c r="L45" s="19" t="s">
        <v>42</v>
      </c>
      <c r="M45" s="1"/>
      <c r="N45" s="19" t="s">
        <v>42</v>
      </c>
      <c r="O45" s="1"/>
    </row>
    <row r="46" spans="1:15">
      <c r="A46" s="12" t="s">
        <v>20</v>
      </c>
      <c r="B46" s="1" t="s">
        <v>32</v>
      </c>
      <c r="C46" s="1"/>
      <c r="D46" s="1" t="s">
        <v>56</v>
      </c>
      <c r="E46" s="1"/>
      <c r="F46" s="1" t="s">
        <v>58</v>
      </c>
      <c r="G46" s="1"/>
      <c r="H46" s="1" t="s">
        <v>58</v>
      </c>
      <c r="J46" s="1" t="s">
        <v>57</v>
      </c>
      <c r="K46" s="1"/>
      <c r="L46" s="1" t="s">
        <v>69</v>
      </c>
      <c r="M46" s="1"/>
      <c r="N46" s="1" t="s">
        <v>67</v>
      </c>
      <c r="O46" s="1"/>
    </row>
    <row r="47" spans="1:15">
      <c r="A47" s="12" t="s">
        <v>44</v>
      </c>
      <c r="B47">
        <v>5</v>
      </c>
      <c r="C47" t="s">
        <v>4</v>
      </c>
      <c r="D47">
        <v>1.71</v>
      </c>
      <c r="E47" t="s">
        <v>4</v>
      </c>
      <c r="F47">
        <v>1.91</v>
      </c>
      <c r="G47" t="s">
        <v>4</v>
      </c>
      <c r="H47">
        <v>1</v>
      </c>
      <c r="I47" t="s">
        <v>4</v>
      </c>
      <c r="J47">
        <v>1.99</v>
      </c>
      <c r="K47" t="s">
        <v>4</v>
      </c>
      <c r="L47">
        <v>3.17</v>
      </c>
      <c r="M47" t="s">
        <v>4</v>
      </c>
      <c r="N47">
        <v>2.7</v>
      </c>
      <c r="O47" t="s">
        <v>4</v>
      </c>
    </row>
    <row r="48" spans="1:15">
      <c r="A48" s="12"/>
      <c r="D48" s="13">
        <v>2900000</v>
      </c>
      <c r="E48" t="s">
        <v>33</v>
      </c>
      <c r="F48" s="13">
        <f>F50/F49</f>
        <v>3721319.31166348</v>
      </c>
      <c r="G48" t="s">
        <v>33</v>
      </c>
      <c r="H48" s="13">
        <f>F48/19</f>
        <v>195858.91114018316</v>
      </c>
      <c r="I48" t="s">
        <v>33</v>
      </c>
      <c r="J48" s="13">
        <f>J50/J49</f>
        <v>4063097.5143403439</v>
      </c>
      <c r="K48" t="s">
        <v>33</v>
      </c>
      <c r="L48" s="13">
        <f>L50/L49</f>
        <v>8843212.2370936908</v>
      </c>
      <c r="M48" t="s">
        <v>33</v>
      </c>
      <c r="N48" s="13">
        <f>N50/N49</f>
        <v>6931166.3479923513</v>
      </c>
      <c r="O48" t="s">
        <v>33</v>
      </c>
    </row>
    <row r="49" spans="1:15">
      <c r="A49" s="7"/>
      <c r="B49" s="1"/>
      <c r="C49" s="1"/>
      <c r="D49">
        <v>4.1840000000000002</v>
      </c>
      <c r="E49" t="s">
        <v>96</v>
      </c>
      <c r="F49">
        <v>4.1840000000000002</v>
      </c>
      <c r="G49" t="s">
        <v>96</v>
      </c>
      <c r="H49">
        <v>4.1840000000000002</v>
      </c>
      <c r="I49" t="s">
        <v>96</v>
      </c>
      <c r="J49">
        <v>4.1840000000000002</v>
      </c>
      <c r="K49" t="s">
        <v>96</v>
      </c>
      <c r="L49">
        <v>4.1840000000000002</v>
      </c>
      <c r="M49" t="s">
        <v>96</v>
      </c>
      <c r="N49">
        <v>4.1840000000000002</v>
      </c>
      <c r="O49" t="s">
        <v>96</v>
      </c>
    </row>
    <row r="50" spans="1:15">
      <c r="A50" s="3" t="s">
        <v>17</v>
      </c>
      <c r="B50" s="4">
        <v>55600000</v>
      </c>
      <c r="C50" s="4" t="s">
        <v>6</v>
      </c>
      <c r="D50" s="4">
        <f>D48*D49</f>
        <v>12133600</v>
      </c>
      <c r="E50" s="4" t="s">
        <v>6</v>
      </c>
      <c r="F50" s="4">
        <v>15570000</v>
      </c>
      <c r="G50" s="4" t="s">
        <v>6</v>
      </c>
      <c r="H50" s="4">
        <f>H48*H49</f>
        <v>819473.68421052641</v>
      </c>
      <c r="I50" s="4" t="s">
        <v>6</v>
      </c>
      <c r="J50" s="4">
        <v>17000000</v>
      </c>
      <c r="K50" s="4" t="s">
        <v>6</v>
      </c>
      <c r="L50" s="4">
        <v>37000000</v>
      </c>
      <c r="M50" s="4" t="s">
        <v>6</v>
      </c>
      <c r="N50" s="4">
        <v>29000000</v>
      </c>
      <c r="O50" s="4" t="s">
        <v>6</v>
      </c>
    </row>
    <row r="52" spans="1:15">
      <c r="A52" s="1" t="s">
        <v>1</v>
      </c>
      <c r="B52" s="5">
        <f>($B$14*B50)/1000</f>
        <v>15.444456799999999</v>
      </c>
      <c r="C52" s="1" t="s">
        <v>3</v>
      </c>
      <c r="D52" s="5">
        <f>($B$14*D50)/1000</f>
        <v>3.3704471408000001</v>
      </c>
      <c r="E52" s="1" t="s">
        <v>3</v>
      </c>
      <c r="F52" s="5">
        <f>($B$14*F50)/1000</f>
        <v>4.3250034599999996</v>
      </c>
      <c r="G52" s="1" t="s">
        <v>3</v>
      </c>
      <c r="H52" s="5">
        <f>($B$14*H50)/1000</f>
        <v>0.22763176105263161</v>
      </c>
      <c r="I52" s="1" t="s">
        <v>3</v>
      </c>
      <c r="J52" s="5">
        <f>($B$14*J50)/1000</f>
        <v>4.7222260000000009</v>
      </c>
      <c r="K52" s="1" t="s">
        <v>3</v>
      </c>
      <c r="L52" s="5">
        <f>($B$14*L50)/1000</f>
        <v>10.277786000000001</v>
      </c>
      <c r="M52" s="1" t="s">
        <v>3</v>
      </c>
      <c r="N52" s="5">
        <f>($B$14*N50)/1000</f>
        <v>8.0555620000000001</v>
      </c>
      <c r="O52" s="1" t="s">
        <v>3</v>
      </c>
    </row>
    <row r="54" spans="1:15">
      <c r="A54" s="1" t="s">
        <v>12</v>
      </c>
      <c r="B54" s="10">
        <f>B50/($B$9^2)</f>
        <v>6.1863343116581185E-10</v>
      </c>
      <c r="C54" s="1" t="s">
        <v>4</v>
      </c>
      <c r="D54" s="10">
        <f>D50/($B$9^2)</f>
        <v>1.3500450720132185E-10</v>
      </c>
      <c r="E54" s="1" t="s">
        <v>4</v>
      </c>
      <c r="F54" s="10">
        <f>F50/($B$9^2)</f>
        <v>1.732396137275484E-10</v>
      </c>
      <c r="G54" s="1" t="s">
        <v>4</v>
      </c>
      <c r="H54" s="10">
        <f>H50/($B$9^2)</f>
        <v>9.1178744067130738E-12</v>
      </c>
      <c r="I54" s="1" t="s">
        <v>4</v>
      </c>
      <c r="J54" s="10">
        <f>J50/($B$9^2)</f>
        <v>1.8915050952911514E-10</v>
      </c>
      <c r="K54" s="1" t="s">
        <v>4</v>
      </c>
      <c r="L54" s="10">
        <f>L50/($B$9^2)</f>
        <v>4.1168052073983883E-10</v>
      </c>
      <c r="M54" s="1" t="s">
        <v>4</v>
      </c>
      <c r="N54" s="10">
        <f>N50/($B$9^2)</f>
        <v>3.2266851625554936E-10</v>
      </c>
      <c r="O54" s="1" t="s">
        <v>4</v>
      </c>
    </row>
    <row r="55" spans="1:15">
      <c r="A55" s="1" t="s">
        <v>14</v>
      </c>
      <c r="B55" s="10">
        <f>B54*1000</f>
        <v>6.1863343116581181E-7</v>
      </c>
      <c r="C55" s="1" t="s">
        <v>13</v>
      </c>
      <c r="D55" s="10">
        <f>D54*1000</f>
        <v>1.3500450720132186E-7</v>
      </c>
      <c r="E55" s="1" t="s">
        <v>13</v>
      </c>
      <c r="F55" s="10">
        <f>F54*1000</f>
        <v>1.732396137275484E-7</v>
      </c>
      <c r="G55" s="1" t="s">
        <v>13</v>
      </c>
      <c r="H55" s="10">
        <f>H54*1000</f>
        <v>9.1178744067130742E-9</v>
      </c>
      <c r="I55" s="1" t="s">
        <v>13</v>
      </c>
      <c r="J55" s="10">
        <f>J54*1000</f>
        <v>1.8915050952911513E-7</v>
      </c>
      <c r="K55" s="1" t="s">
        <v>13</v>
      </c>
      <c r="L55" s="10">
        <f>L54*1000</f>
        <v>4.1168052073983883E-7</v>
      </c>
      <c r="M55" s="1" t="s">
        <v>13</v>
      </c>
      <c r="N55" s="10">
        <f>N54*1000</f>
        <v>3.2266851625554934E-7</v>
      </c>
      <c r="O55" s="1" t="s">
        <v>13</v>
      </c>
    </row>
    <row r="57" spans="1:15">
      <c r="A57" s="1" t="s">
        <v>19</v>
      </c>
      <c r="B57" s="18">
        <f>B54/B47</f>
        <v>1.2372668623316237E-10</v>
      </c>
      <c r="C57" s="18"/>
      <c r="D57" s="18">
        <f>D54/D47</f>
        <v>7.8950004211299331E-11</v>
      </c>
      <c r="E57" s="18"/>
      <c r="F57" s="18">
        <f>F54/F47</f>
        <v>9.0701368443742625E-11</v>
      </c>
      <c r="G57" s="18"/>
      <c r="H57" s="18">
        <f>H54/H47</f>
        <v>9.1178744067130738E-12</v>
      </c>
      <c r="I57" s="18"/>
      <c r="J57" s="18">
        <f>J54/J47</f>
        <v>9.5050507301062891E-11</v>
      </c>
      <c r="K57" s="18"/>
      <c r="L57" s="18">
        <f>L54/L47</f>
        <v>1.2986767215767788E-10</v>
      </c>
      <c r="M57" s="18"/>
      <c r="N57" s="18">
        <f>N54/N47</f>
        <v>1.1950685787242568E-10</v>
      </c>
      <c r="O57" s="18"/>
    </row>
    <row r="59" spans="1:15">
      <c r="A59" s="1" t="s">
        <v>34</v>
      </c>
      <c r="B59" t="s">
        <v>38</v>
      </c>
      <c r="D59" t="s">
        <v>39</v>
      </c>
      <c r="F59" t="s">
        <v>64</v>
      </c>
      <c r="H59" t="s">
        <v>50</v>
      </c>
      <c r="J59" t="s">
        <v>65</v>
      </c>
      <c r="L59" t="s">
        <v>68</v>
      </c>
      <c r="N59" t="s">
        <v>72</v>
      </c>
    </row>
    <row r="60" spans="1:15">
      <c r="D60" t="s">
        <v>36</v>
      </c>
      <c r="F60" t="s">
        <v>45</v>
      </c>
      <c r="H60" t="s">
        <v>43</v>
      </c>
      <c r="J60" t="s">
        <v>45</v>
      </c>
      <c r="L60" t="s">
        <v>45</v>
      </c>
      <c r="N60" t="s">
        <v>45</v>
      </c>
    </row>
    <row r="61" spans="1:15">
      <c r="D61" t="s">
        <v>48</v>
      </c>
      <c r="F61" t="s">
        <v>63</v>
      </c>
      <c r="H61" t="s">
        <v>54</v>
      </c>
      <c r="J61" t="s">
        <v>66</v>
      </c>
      <c r="L61" t="s">
        <v>70</v>
      </c>
      <c r="N61" t="s">
        <v>73</v>
      </c>
    </row>
    <row r="62" spans="1:15">
      <c r="D62" t="s">
        <v>49</v>
      </c>
      <c r="F62" t="s">
        <v>46</v>
      </c>
      <c r="H62" t="s">
        <v>51</v>
      </c>
      <c r="J62" t="s">
        <v>61</v>
      </c>
      <c r="L62" t="s">
        <v>71</v>
      </c>
      <c r="N62" t="s">
        <v>74</v>
      </c>
    </row>
    <row r="63" spans="1:15">
      <c r="D63" t="s">
        <v>59</v>
      </c>
      <c r="F63" t="s">
        <v>47</v>
      </c>
      <c r="H63" t="s">
        <v>55</v>
      </c>
      <c r="J63" t="s">
        <v>47</v>
      </c>
      <c r="L63" t="s">
        <v>47</v>
      </c>
      <c r="N63" t="s">
        <v>47</v>
      </c>
    </row>
    <row r="64" spans="1:15">
      <c r="D64" t="s">
        <v>60</v>
      </c>
      <c r="F64" s="1" t="s">
        <v>62</v>
      </c>
      <c r="H64" t="s">
        <v>52</v>
      </c>
      <c r="J64" s="1" t="s">
        <v>62</v>
      </c>
      <c r="L64" s="1" t="s">
        <v>62</v>
      </c>
      <c r="N64" s="1" t="s">
        <v>62</v>
      </c>
    </row>
    <row r="65" spans="1:15">
      <c r="F65" s="20">
        <f>0.71*(F50/D50)</f>
        <v>0.91108162457967956</v>
      </c>
      <c r="G65" s="1" t="s">
        <v>4</v>
      </c>
      <c r="H65" t="s">
        <v>53</v>
      </c>
      <c r="J65" s="20">
        <f>0.71*(J50/D50)</f>
        <v>0.99475835695918768</v>
      </c>
      <c r="K65" s="1" t="s">
        <v>4</v>
      </c>
      <c r="L65" s="20">
        <f>0.71*(L50/D50)</f>
        <v>2.1650623063229379</v>
      </c>
      <c r="M65" s="1" t="s">
        <v>4</v>
      </c>
      <c r="N65" s="20">
        <f>0.71*(N50/D50)</f>
        <v>1.6969407265774379</v>
      </c>
      <c r="O65" s="1" t="s">
        <v>4</v>
      </c>
    </row>
    <row r="67" spans="1:15">
      <c r="A67" s="9" t="s">
        <v>16</v>
      </c>
    </row>
    <row r="68" spans="1:15">
      <c r="A68" s="12" t="s">
        <v>27</v>
      </c>
      <c r="B68" s="1" t="s">
        <v>29</v>
      </c>
      <c r="C68" s="1"/>
      <c r="D68" s="1" t="s">
        <v>29</v>
      </c>
      <c r="E68" s="1"/>
      <c r="F68" s="1" t="s">
        <v>83</v>
      </c>
      <c r="G68" s="1"/>
      <c r="H68" s="1" t="s">
        <v>89</v>
      </c>
      <c r="I68" s="1"/>
      <c r="J68" s="1" t="s">
        <v>97</v>
      </c>
      <c r="K68" s="1"/>
      <c r="L68" s="1"/>
    </row>
    <row r="69" spans="1:15" ht="15.5">
      <c r="A69" s="12" t="s">
        <v>20</v>
      </c>
      <c r="B69" s="17" t="s">
        <v>86</v>
      </c>
      <c r="C69" s="1"/>
      <c r="D69" s="17" t="s">
        <v>85</v>
      </c>
      <c r="E69" s="1"/>
      <c r="F69" s="1" t="s">
        <v>84</v>
      </c>
      <c r="G69" s="1"/>
      <c r="H69" s="1" t="s">
        <v>90</v>
      </c>
      <c r="I69" s="1"/>
      <c r="J69" s="1" t="s">
        <v>90</v>
      </c>
      <c r="K69" s="1"/>
      <c r="L69" s="1"/>
    </row>
    <row r="70" spans="1:15">
      <c r="A70" s="12" t="s">
        <v>44</v>
      </c>
      <c r="B70">
        <v>1</v>
      </c>
      <c r="C70" t="s">
        <v>4</v>
      </c>
      <c r="D70">
        <v>1</v>
      </c>
      <c r="E70" t="str">
        <f>C70</f>
        <v>kg</v>
      </c>
      <c r="F70">
        <v>1</v>
      </c>
      <c r="G70" t="str">
        <f>E70</f>
        <v>kg</v>
      </c>
      <c r="H70">
        <v>1</v>
      </c>
      <c r="I70" t="str">
        <f>G70</f>
        <v>kg</v>
      </c>
      <c r="J70">
        <v>1</v>
      </c>
      <c r="K70" t="str">
        <f>I70</f>
        <v>kg</v>
      </c>
    </row>
    <row r="71" spans="1:15">
      <c r="A71" s="12"/>
    </row>
    <row r="72" spans="1:15">
      <c r="A72" s="7"/>
      <c r="B72" s="1"/>
      <c r="C72" s="1"/>
      <c r="D72" s="1"/>
      <c r="F72" s="1"/>
      <c r="H72" s="1"/>
      <c r="J72" s="1"/>
    </row>
    <row r="73" spans="1:15">
      <c r="A73" s="3" t="s">
        <v>79</v>
      </c>
      <c r="B73" s="4">
        <f>B77*$B9^2</f>
        <v>629128625115772.37</v>
      </c>
      <c r="C73" s="4" t="s">
        <v>6</v>
      </c>
      <c r="D73" s="4">
        <f>D77*$B9^2</f>
        <v>56621576260419.508</v>
      </c>
      <c r="E73" s="4" t="s">
        <v>6</v>
      </c>
      <c r="F73" s="4">
        <f>F77*$B9^2</f>
        <v>3.5950207149472704E+16</v>
      </c>
      <c r="G73" s="4" t="s">
        <v>6</v>
      </c>
      <c r="H73" s="4">
        <f>H77*$B9^2</f>
        <v>8.987551787368176E+16</v>
      </c>
      <c r="I73" s="4" t="s">
        <v>6</v>
      </c>
      <c r="J73" s="4">
        <f>J77*$B9^2</f>
        <v>2.6063900183367708E+16</v>
      </c>
      <c r="K73" s="4" t="s">
        <v>6</v>
      </c>
      <c r="L73" s="4"/>
      <c r="M73" s="3"/>
    </row>
    <row r="75" spans="1:15">
      <c r="A75" s="1" t="s">
        <v>1</v>
      </c>
      <c r="B75" s="5">
        <f>($B$14*B73)/1000</f>
        <v>174758091.22740903</v>
      </c>
      <c r="C75" s="1" t="s">
        <v>3</v>
      </c>
      <c r="D75" s="5">
        <f>($B$14*D73)/1000</f>
        <v>15728228.21046681</v>
      </c>
      <c r="E75" s="1" t="s">
        <v>3</v>
      </c>
      <c r="F75" s="5">
        <f>($B$14*F73)/1000</f>
        <v>9986176641.5662289</v>
      </c>
      <c r="G75" s="1" t="s">
        <v>3</v>
      </c>
      <c r="H75" s="5">
        <f>($B$14*H73)/1000</f>
        <v>24965441603.915573</v>
      </c>
      <c r="I75" s="1" t="s">
        <v>3</v>
      </c>
      <c r="J75" s="5">
        <f>($B$14*J73)/1000</f>
        <v>7239978065.1355152</v>
      </c>
      <c r="K75" s="1" t="s">
        <v>3</v>
      </c>
      <c r="L75" s="5"/>
      <c r="M75" s="1"/>
    </row>
    <row r="77" spans="1:15">
      <c r="A77" s="1" t="s">
        <v>12</v>
      </c>
      <c r="B77" s="10">
        <f>B78/1000</f>
        <v>7.0000000000000001E-3</v>
      </c>
      <c r="C77" s="1" t="s">
        <v>4</v>
      </c>
      <c r="D77" s="10">
        <f>D78/1000</f>
        <v>6.3000000000000003E-4</v>
      </c>
      <c r="E77" s="1" t="s">
        <v>4</v>
      </c>
      <c r="F77" s="10">
        <f>F78/1000</f>
        <v>0.4</v>
      </c>
      <c r="G77" s="1" t="s">
        <v>4</v>
      </c>
      <c r="H77" s="10">
        <f>H78/1000</f>
        <v>1</v>
      </c>
      <c r="I77" s="1" t="s">
        <v>4</v>
      </c>
      <c r="J77" s="10">
        <f>J78/1000</f>
        <v>0.28999999999999998</v>
      </c>
      <c r="K77" s="1" t="s">
        <v>4</v>
      </c>
      <c r="L77" s="10"/>
      <c r="M77" s="1"/>
    </row>
    <row r="78" spans="1:15">
      <c r="A78" s="1" t="s">
        <v>14</v>
      </c>
      <c r="B78" s="10">
        <f>1000*B80</f>
        <v>7</v>
      </c>
      <c r="C78" s="1" t="s">
        <v>13</v>
      </c>
      <c r="D78" s="10">
        <f>1000*D80</f>
        <v>0.63</v>
      </c>
      <c r="E78" s="1" t="s">
        <v>13</v>
      </c>
      <c r="F78" s="10">
        <f>1000*F80</f>
        <v>400</v>
      </c>
      <c r="G78" s="1" t="s">
        <v>13</v>
      </c>
      <c r="H78" s="10">
        <f>1000*H80</f>
        <v>1000</v>
      </c>
      <c r="I78" s="1" t="s">
        <v>13</v>
      </c>
      <c r="J78" s="10">
        <f>1000*J80</f>
        <v>290</v>
      </c>
      <c r="K78" s="1" t="s">
        <v>13</v>
      </c>
      <c r="L78" s="10"/>
      <c r="M78" s="1"/>
    </row>
    <row r="80" spans="1:15">
      <c r="A80" s="1" t="s">
        <v>19</v>
      </c>
      <c r="B80" s="18">
        <v>7.0000000000000001E-3</v>
      </c>
      <c r="C80" s="18"/>
      <c r="D80" s="18">
        <f>0.09*B80</f>
        <v>6.3000000000000003E-4</v>
      </c>
      <c r="E80" s="18"/>
      <c r="F80" s="18">
        <v>0.4</v>
      </c>
      <c r="G80" s="18"/>
      <c r="H80" s="18">
        <v>1</v>
      </c>
      <c r="I80" s="18"/>
      <c r="J80" s="18">
        <v>0.28999999999999998</v>
      </c>
      <c r="K80" s="18"/>
      <c r="L80" s="18"/>
      <c r="M80" s="15"/>
    </row>
    <row r="81" spans="1:13">
      <c r="A81" s="1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5"/>
    </row>
    <row r="82" spans="1:13">
      <c r="A82" s="1" t="s">
        <v>34</v>
      </c>
      <c r="B82" t="s">
        <v>75</v>
      </c>
      <c r="C82" s="18"/>
      <c r="D82" t="s">
        <v>98</v>
      </c>
      <c r="E82" s="18"/>
      <c r="F82" t="s">
        <v>99</v>
      </c>
      <c r="G82" s="18"/>
      <c r="H82" t="s">
        <v>100</v>
      </c>
      <c r="I82" s="18"/>
      <c r="J82" t="s">
        <v>101</v>
      </c>
      <c r="K82" s="18"/>
      <c r="L82" s="18"/>
      <c r="M82" s="15"/>
    </row>
    <row r="83" spans="1:13">
      <c r="B83" t="s">
        <v>76</v>
      </c>
      <c r="D83" t="s">
        <v>80</v>
      </c>
      <c r="F83" t="s">
        <v>88</v>
      </c>
      <c r="H83" t="s">
        <v>91</v>
      </c>
      <c r="J83" t="s">
        <v>92</v>
      </c>
    </row>
    <row r="84" spans="1:13">
      <c r="B84" t="s">
        <v>77</v>
      </c>
      <c r="D84" t="s">
        <v>81</v>
      </c>
    </row>
    <row r="85" spans="1:13">
      <c r="B85" t="s">
        <v>78</v>
      </c>
    </row>
    <row r="86" spans="1:13">
      <c r="B86" t="s">
        <v>93</v>
      </c>
      <c r="D86" t="s">
        <v>93</v>
      </c>
      <c r="F86" t="s">
        <v>93</v>
      </c>
      <c r="H86" t="s">
        <v>93</v>
      </c>
      <c r="J86" t="s">
        <v>93</v>
      </c>
    </row>
    <row r="89" spans="1:13">
      <c r="A89" s="1" t="s">
        <v>164</v>
      </c>
    </row>
    <row r="90" spans="1:13">
      <c r="A90" s="1"/>
    </row>
    <row r="91" spans="1:13">
      <c r="A91" s="1" t="s">
        <v>103</v>
      </c>
      <c r="C91" s="22">
        <v>4.2999999999999997E-2</v>
      </c>
    </row>
    <row r="92" spans="1:13">
      <c r="A92" s="1" t="s">
        <v>104</v>
      </c>
      <c r="C92" s="22">
        <v>0.95</v>
      </c>
    </row>
    <row r="93" spans="1:13">
      <c r="C93" s="22"/>
    </row>
    <row r="94" spans="1:13">
      <c r="A94" s="24" t="s">
        <v>105</v>
      </c>
      <c r="C94" s="23">
        <v>0.15</v>
      </c>
    </row>
    <row r="95" spans="1:13">
      <c r="A95" s="1" t="s">
        <v>106</v>
      </c>
      <c r="C95" s="22">
        <f>C$92*C94</f>
        <v>0.14249999999999999</v>
      </c>
    </row>
    <row r="96" spans="1:13">
      <c r="A96" s="1" t="s">
        <v>107</v>
      </c>
      <c r="C96" s="23">
        <f>C$91*C95</f>
        <v>6.1274999999999993E-3</v>
      </c>
    </row>
    <row r="98" spans="1:3">
      <c r="A98" s="1" t="s">
        <v>108</v>
      </c>
      <c r="C98" s="23">
        <v>0.2</v>
      </c>
    </row>
    <row r="99" spans="1:3">
      <c r="A99" s="1" t="s">
        <v>109</v>
      </c>
      <c r="C99" s="22">
        <f>C$92*C98</f>
        <v>0.19</v>
      </c>
    </row>
    <row r="100" spans="1:3">
      <c r="A100" s="1" t="s">
        <v>114</v>
      </c>
      <c r="C100" s="23">
        <f>C$91*C99</f>
        <v>8.1700000000000002E-3</v>
      </c>
    </row>
    <row r="102" spans="1:3">
      <c r="A102" s="24" t="s">
        <v>165</v>
      </c>
      <c r="B102" s="3"/>
      <c r="C102" s="23">
        <v>0.4</v>
      </c>
    </row>
    <row r="103" spans="1:3">
      <c r="A103" s="1" t="s">
        <v>110</v>
      </c>
      <c r="C103" s="22">
        <f>C$92*C102</f>
        <v>0.38</v>
      </c>
    </row>
    <row r="104" spans="1:3">
      <c r="A104" s="1" t="s">
        <v>113</v>
      </c>
      <c r="C104" s="23">
        <f>C$91*C103</f>
        <v>1.634E-2</v>
      </c>
    </row>
    <row r="105" spans="1:3">
      <c r="A105" s="1"/>
      <c r="C105" s="23"/>
    </row>
    <row r="106" spans="1:3">
      <c r="A106" s="24" t="s">
        <v>166</v>
      </c>
      <c r="B106" s="3"/>
      <c r="C106" s="23">
        <v>0.4</v>
      </c>
    </row>
    <row r="107" spans="1:3">
      <c r="A107" s="1" t="s">
        <v>110</v>
      </c>
      <c r="C107" s="22">
        <f>C$92*C106</f>
        <v>0.38</v>
      </c>
    </row>
    <row r="109" spans="1:3">
      <c r="A109" s="24" t="s">
        <v>167</v>
      </c>
      <c r="C109" s="23">
        <v>0.6</v>
      </c>
    </row>
    <row r="110" spans="1:3">
      <c r="A110" s="1" t="s">
        <v>111</v>
      </c>
      <c r="C110" s="22">
        <f>C$92*C109</f>
        <v>0.56999999999999995</v>
      </c>
    </row>
    <row r="111" spans="1:3">
      <c r="A111" s="1" t="s">
        <v>112</v>
      </c>
      <c r="C111" s="23">
        <f>C$91*C110</f>
        <v>2.4509999999999997E-2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H7" sqref="H7"/>
    </sheetView>
  </sheetViews>
  <sheetFormatPr defaultRowHeight="14.5"/>
  <cols>
    <col min="1" max="1" width="34.36328125" customWidth="1"/>
    <col min="2" max="2" width="13" customWidth="1"/>
    <col min="3" max="3" width="11.08984375" customWidth="1"/>
    <col min="4" max="4" width="23.26953125" customWidth="1"/>
    <col min="5" max="5" width="20.36328125" customWidth="1"/>
    <col min="6" max="6" width="12.26953125" customWidth="1"/>
    <col min="7" max="7" width="19.7265625" customWidth="1"/>
    <col min="8" max="8" width="25.81640625" customWidth="1"/>
    <col min="9" max="9" width="22.26953125" customWidth="1"/>
    <col min="10" max="10" width="27.81640625" customWidth="1"/>
    <col min="12" max="12" width="18.7265625" customWidth="1"/>
    <col min="14" max="14" width="24.54296875" customWidth="1"/>
  </cols>
  <sheetData>
    <row r="1" spans="1:14" ht="26">
      <c r="A1" s="25" t="s">
        <v>115</v>
      </c>
    </row>
    <row r="3" spans="1:14" ht="15.5">
      <c r="A3" s="21" t="str">
        <f>'E=mc2'!A3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4" ht="15.5">
      <c r="A4" s="21" t="str">
        <f>'E=mc2'!A4</f>
        <v>Sources to all information used in this spreadsheet can also be found in associated PowerPoint presentation located also at www.hmexperience.dk</v>
      </c>
    </row>
    <row r="6" spans="1:14" ht="15" thickBot="1"/>
    <row r="7" spans="1:14" ht="60" customHeight="1">
      <c r="A7" s="26" t="s">
        <v>116</v>
      </c>
      <c r="B7" s="27" t="s">
        <v>125</v>
      </c>
      <c r="C7" s="27" t="s">
        <v>124</v>
      </c>
      <c r="D7" s="28" t="s">
        <v>126</v>
      </c>
      <c r="E7" s="28" t="s">
        <v>127</v>
      </c>
      <c r="F7" s="29" t="s">
        <v>128</v>
      </c>
      <c r="G7" s="29" t="s">
        <v>163</v>
      </c>
      <c r="H7" s="30" t="s">
        <v>130</v>
      </c>
      <c r="I7" s="30" t="s">
        <v>135</v>
      </c>
      <c r="J7" s="30" t="s">
        <v>129</v>
      </c>
      <c r="L7" s="29" t="s">
        <v>134</v>
      </c>
      <c r="M7" s="27" t="s">
        <v>145</v>
      </c>
      <c r="N7" s="30" t="s">
        <v>135</v>
      </c>
    </row>
    <row r="8" spans="1:14" ht="18.5">
      <c r="A8" s="33" t="s">
        <v>133</v>
      </c>
      <c r="B8" s="32">
        <v>2021</v>
      </c>
      <c r="C8" s="32">
        <v>2011</v>
      </c>
      <c r="D8" s="43" t="s">
        <v>137</v>
      </c>
      <c r="E8" s="43" t="s">
        <v>137</v>
      </c>
      <c r="F8" s="44" t="s">
        <v>137</v>
      </c>
      <c r="G8" s="36">
        <f t="shared" ref="G8:G13" si="0">((H8/I8)^(1/(B8-C8)))-1</f>
        <v>2.4453924315294584E-2</v>
      </c>
      <c r="H8" s="40">
        <v>28214000000000</v>
      </c>
      <c r="I8" s="40">
        <f>22158.5*1000000000</f>
        <v>22158500000000</v>
      </c>
      <c r="J8" s="39">
        <v>1</v>
      </c>
      <c r="L8" s="36">
        <f>((H8/N8)^(1/(B8-M8)))-1</f>
        <v>2.9718527151674001E-2</v>
      </c>
      <c r="M8" s="72">
        <v>1985</v>
      </c>
      <c r="N8" s="73">
        <v>9831000000000</v>
      </c>
    </row>
    <row r="9" spans="1:14" ht="18.5">
      <c r="A9" s="33" t="s">
        <v>117</v>
      </c>
      <c r="B9" s="32">
        <v>2021</v>
      </c>
      <c r="C9" s="32">
        <v>2016</v>
      </c>
      <c r="D9" s="46">
        <v>849.5</v>
      </c>
      <c r="E9" s="46">
        <v>306.5</v>
      </c>
      <c r="F9" s="42">
        <f>H9/(D9*24*365*1000000)</f>
        <v>0.13476904222467689</v>
      </c>
      <c r="G9" s="36">
        <f t="shared" si="0"/>
        <v>0.24964296839179378</v>
      </c>
      <c r="H9" s="37">
        <v>1002900000000</v>
      </c>
      <c r="I9" s="41">
        <v>329100000000</v>
      </c>
      <c r="J9" s="39">
        <f t="shared" ref="J9:J16" si="1">H9/H$8</f>
        <v>3.5546182746154391E-2</v>
      </c>
    </row>
    <row r="10" spans="1:14" ht="18.5">
      <c r="A10" s="31" t="s">
        <v>118</v>
      </c>
      <c r="B10" s="32">
        <v>2021</v>
      </c>
      <c r="C10" s="32">
        <v>2014</v>
      </c>
      <c r="D10" s="47">
        <v>824.9</v>
      </c>
      <c r="E10" s="47">
        <v>369.6</v>
      </c>
      <c r="F10" s="42">
        <f>H10/(D10*24*365*1000000)</f>
        <v>0.25882478628930256</v>
      </c>
      <c r="G10" s="36">
        <f t="shared" si="0"/>
        <v>0.14631279698941668</v>
      </c>
      <c r="H10" s="45">
        <v>1870300000000</v>
      </c>
      <c r="I10" s="41">
        <v>719100000000</v>
      </c>
      <c r="J10" s="39">
        <f t="shared" si="1"/>
        <v>6.6289785213014818E-2</v>
      </c>
    </row>
    <row r="11" spans="1:14" ht="18.5">
      <c r="A11" s="31" t="s">
        <v>121</v>
      </c>
      <c r="B11" s="32">
        <v>2019</v>
      </c>
      <c r="C11" s="32">
        <v>2015</v>
      </c>
      <c r="D11" s="46">
        <v>140</v>
      </c>
      <c r="E11" s="54" t="s">
        <v>137</v>
      </c>
      <c r="F11" s="42">
        <f>H11/(D11*24*365*1000000)</f>
        <v>0.53408349641226349</v>
      </c>
      <c r="G11" s="36">
        <f t="shared" si="0"/>
        <v>6.4554207985248802E-2</v>
      </c>
      <c r="H11" s="45">
        <v>655000000000</v>
      </c>
      <c r="I11" s="41">
        <v>510000000000</v>
      </c>
      <c r="J11" s="39">
        <f t="shared" si="1"/>
        <v>2.3215424966328772E-2</v>
      </c>
    </row>
    <row r="12" spans="1:14" ht="18.5">
      <c r="A12" s="31" t="s">
        <v>120</v>
      </c>
      <c r="B12" s="35">
        <v>2019</v>
      </c>
      <c r="C12" s="35">
        <v>2007</v>
      </c>
      <c r="D12" s="48">
        <v>15.4</v>
      </c>
      <c r="E12" s="54">
        <v>9.6999999999999993</v>
      </c>
      <c r="F12" s="42">
        <f>H12/(D12*24*365*1000000)</f>
        <v>0.68196643539109292</v>
      </c>
      <c r="G12" s="36">
        <f t="shared" si="0"/>
        <v>3.3019013366860861E-2</v>
      </c>
      <c r="H12" s="37">
        <v>92000000000</v>
      </c>
      <c r="I12" s="41">
        <v>62300000000</v>
      </c>
      <c r="J12" s="39">
        <f t="shared" si="1"/>
        <v>3.2607925143545756E-3</v>
      </c>
    </row>
    <row r="13" spans="1:14" ht="18.5">
      <c r="A13" s="31" t="s">
        <v>119</v>
      </c>
      <c r="B13" s="32">
        <v>2021</v>
      </c>
      <c r="C13" s="32">
        <v>2018</v>
      </c>
      <c r="D13" s="47">
        <v>1360</v>
      </c>
      <c r="E13" s="66" t="s">
        <v>137</v>
      </c>
      <c r="F13" s="42">
        <f>H13/(D13*24*365*1000000)</f>
        <v>0.36323193661026054</v>
      </c>
      <c r="G13" s="36">
        <f t="shared" si="0"/>
        <v>7.5377764227122501E-3</v>
      </c>
      <c r="H13" s="45">
        <v>4327400000000</v>
      </c>
      <c r="I13" s="41">
        <v>4231000000000</v>
      </c>
      <c r="J13" s="39">
        <f t="shared" si="1"/>
        <v>0.15337775572410861</v>
      </c>
    </row>
    <row r="14" spans="1:14" ht="18.5">
      <c r="A14" s="49" t="s">
        <v>136</v>
      </c>
      <c r="B14" s="68" t="s">
        <v>137</v>
      </c>
      <c r="C14" s="68" t="s">
        <v>137</v>
      </c>
      <c r="D14" s="50">
        <f>SUM(D9:D13)</f>
        <v>3189.8</v>
      </c>
      <c r="E14" s="67" t="s">
        <v>137</v>
      </c>
      <c r="F14" s="69" t="s">
        <v>137</v>
      </c>
      <c r="G14" s="69" t="s">
        <v>137</v>
      </c>
      <c r="H14" s="51">
        <f>SUM(H9:H13)</f>
        <v>7947600000000</v>
      </c>
      <c r="I14" s="52">
        <f>SUM(I9:I13)</f>
        <v>5851500000000</v>
      </c>
      <c r="J14" s="70">
        <f t="shared" si="1"/>
        <v>0.28168994116396118</v>
      </c>
      <c r="K14" s="22"/>
    </row>
    <row r="15" spans="1:14" ht="18.5">
      <c r="A15" s="31" t="s">
        <v>123</v>
      </c>
      <c r="B15" s="32">
        <v>2021</v>
      </c>
      <c r="C15" s="32">
        <v>2018</v>
      </c>
      <c r="D15" s="46">
        <v>1800</v>
      </c>
      <c r="E15" s="54"/>
      <c r="F15" s="39">
        <f>H15/(D15*24*365*1000000)</f>
        <v>0.41355910705225774</v>
      </c>
      <c r="G15" s="36">
        <f>((H15/I15)^(1/(B15-C15)))-1</f>
        <v>1.8064377829688727E-2</v>
      </c>
      <c r="H15" s="34">
        <v>6521000000000</v>
      </c>
      <c r="I15" s="41">
        <v>6180000000000</v>
      </c>
      <c r="J15" s="39">
        <f>H15/H$8</f>
        <v>0.23112639115332814</v>
      </c>
    </row>
    <row r="16" spans="1:14" ht="18.5">
      <c r="A16" s="31" t="s">
        <v>122</v>
      </c>
      <c r="B16" s="32">
        <v>2021</v>
      </c>
      <c r="C16" s="32">
        <v>2018</v>
      </c>
      <c r="D16" s="46">
        <v>2201</v>
      </c>
      <c r="E16" s="54">
        <v>2104</v>
      </c>
      <c r="F16" s="39">
        <f>H16/(D16*24*365*1000000)</f>
        <v>0.52084046479495627</v>
      </c>
      <c r="G16" s="36">
        <f>((H16/I16)^(1/(B16-C16)))-1</f>
        <v>6.8816605044688117E-3</v>
      </c>
      <c r="H16" s="34">
        <v>10042200000000</v>
      </c>
      <c r="I16" s="41">
        <v>9837700000000</v>
      </c>
      <c r="J16" s="39">
        <f t="shared" si="1"/>
        <v>0.35592968030055999</v>
      </c>
    </row>
    <row r="17" spans="1:10" ht="18.5">
      <c r="A17" s="33" t="s">
        <v>143</v>
      </c>
      <c r="B17" s="32">
        <v>2020</v>
      </c>
      <c r="C17" s="32">
        <v>2010</v>
      </c>
      <c r="D17" s="46">
        <v>396.6</v>
      </c>
      <c r="E17" s="66" t="s">
        <v>137</v>
      </c>
      <c r="F17" s="42">
        <f>H17/(D17*24*365*1000000)</f>
        <v>0.76964126582803127</v>
      </c>
      <c r="G17" s="36">
        <f>((H17/I17)^(1/(B17-C17)))-1</f>
        <v>-3.0305106854970898E-3</v>
      </c>
      <c r="H17" s="34">
        <v>2673900000000</v>
      </c>
      <c r="I17" s="41">
        <v>2756300000000</v>
      </c>
      <c r="J17" s="39">
        <f t="shared" ref="J17" si="2">H17/H$8</f>
        <v>9.4772098957964138E-2</v>
      </c>
    </row>
    <row r="18" spans="1:10" ht="18.5">
      <c r="A18" s="33" t="s">
        <v>144</v>
      </c>
      <c r="B18" s="53" t="s">
        <v>137</v>
      </c>
      <c r="C18" s="53" t="s">
        <v>137</v>
      </c>
      <c r="D18" s="54">
        <v>0</v>
      </c>
      <c r="E18" s="54" t="s">
        <v>137</v>
      </c>
      <c r="F18" s="44" t="s">
        <v>137</v>
      </c>
      <c r="G18" s="55" t="s">
        <v>137</v>
      </c>
      <c r="H18" s="56">
        <v>0</v>
      </c>
      <c r="I18" s="57" t="s">
        <v>137</v>
      </c>
      <c r="J18" s="39">
        <v>0</v>
      </c>
    </row>
    <row r="19" spans="1:10" ht="18.5">
      <c r="A19" s="33" t="s">
        <v>138</v>
      </c>
      <c r="B19" s="53" t="s">
        <v>137</v>
      </c>
      <c r="C19" s="53" t="s">
        <v>137</v>
      </c>
      <c r="D19" s="54" t="s">
        <v>137</v>
      </c>
      <c r="E19" s="54" t="s">
        <v>137</v>
      </c>
      <c r="F19" s="55" t="s">
        <v>137</v>
      </c>
      <c r="G19" s="53" t="s">
        <v>137</v>
      </c>
      <c r="H19" s="56" t="s">
        <v>137</v>
      </c>
      <c r="I19" s="57" t="s">
        <v>137</v>
      </c>
      <c r="J19" s="39">
        <f>J8-SUM(J14:J18)</f>
        <v>3.6481888424186648E-2</v>
      </c>
    </row>
    <row r="20" spans="1:10" ht="18.5">
      <c r="A20" s="60" t="s">
        <v>141</v>
      </c>
      <c r="B20" s="61"/>
      <c r="C20" s="61"/>
      <c r="D20" s="62"/>
      <c r="E20" s="62"/>
      <c r="F20" s="63"/>
      <c r="G20" s="61"/>
      <c r="H20" s="64"/>
      <c r="I20" s="65"/>
      <c r="J20" s="71">
        <f>SUM(J15:J19)</f>
        <v>0.71831005883603893</v>
      </c>
    </row>
    <row r="21" spans="1:10" ht="19.5" customHeight="1">
      <c r="A21" s="33" t="s">
        <v>131</v>
      </c>
      <c r="B21" s="43" t="s">
        <v>137</v>
      </c>
      <c r="C21" s="43" t="s">
        <v>137</v>
      </c>
      <c r="D21" s="54">
        <v>122000000</v>
      </c>
      <c r="E21" s="66" t="s">
        <v>137</v>
      </c>
      <c r="F21" s="55">
        <v>2E-3</v>
      </c>
      <c r="G21" s="43" t="s">
        <v>137</v>
      </c>
      <c r="H21" s="56">
        <f>D21*1000000000*F21*24*365/1000</f>
        <v>2137440000000000</v>
      </c>
      <c r="I21" s="57" t="s">
        <v>137</v>
      </c>
      <c r="J21" s="39">
        <f>H21/H$8</f>
        <v>75.758134259587436</v>
      </c>
    </row>
    <row r="22" spans="1:10" ht="19.5" customHeight="1">
      <c r="A22" s="33" t="s">
        <v>139</v>
      </c>
      <c r="B22" s="43" t="s">
        <v>137</v>
      </c>
      <c r="C22" s="43" t="s">
        <v>137</v>
      </c>
      <c r="D22" s="54">
        <f>((196900000/10)*10)/1000</f>
        <v>196900</v>
      </c>
      <c r="E22" s="66" t="s">
        <v>137</v>
      </c>
      <c r="F22" s="55">
        <f>F10</f>
        <v>0.25882478628930256</v>
      </c>
      <c r="G22" s="43" t="s">
        <v>137</v>
      </c>
      <c r="H22" s="56">
        <f>D22*1000000000*F22*24*365/1000</f>
        <v>446432379682385.75</v>
      </c>
      <c r="I22" s="57" t="s">
        <v>137</v>
      </c>
      <c r="J22" s="39">
        <f>H22/H$8</f>
        <v>15.823080019932862</v>
      </c>
    </row>
    <row r="24" spans="1:10" ht="18.5">
      <c r="A24" s="38" t="s">
        <v>132</v>
      </c>
    </row>
    <row r="25" spans="1:10">
      <c r="A25" s="58" t="s">
        <v>140</v>
      </c>
    </row>
    <row r="26" spans="1:10" ht="17" customHeight="1">
      <c r="A26" s="59" t="s">
        <v>142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Q44"/>
  <sheetViews>
    <sheetView tabSelected="1" workbookViewId="0">
      <selection activeCell="Q7" sqref="Q7"/>
    </sheetView>
  </sheetViews>
  <sheetFormatPr defaultRowHeight="14.5"/>
  <cols>
    <col min="1" max="1" width="19.08984375" style="89" customWidth="1"/>
    <col min="2" max="2" width="18.7265625" customWidth="1"/>
    <col min="3" max="3" width="8.81640625" style="77" customWidth="1"/>
    <col min="4" max="4" width="18.08984375" customWidth="1"/>
    <col min="5" max="5" width="9.1796875" style="77" customWidth="1"/>
    <col min="6" max="6" width="17.7265625" customWidth="1"/>
    <col min="7" max="7" width="8" style="77" customWidth="1"/>
    <col min="8" max="8" width="15.7265625" customWidth="1"/>
    <col min="9" max="9" width="8.26953125" style="77" customWidth="1"/>
    <col min="10" max="10" width="16.7265625" customWidth="1"/>
    <col min="11" max="11" width="10.81640625" style="77" customWidth="1"/>
    <col min="12" max="12" width="16.81640625" customWidth="1"/>
    <col min="13" max="13" width="7.54296875" style="77" customWidth="1"/>
    <col min="14" max="14" width="11.26953125" style="79" customWidth="1"/>
    <col min="15" max="15" width="14.453125" style="81" customWidth="1"/>
    <col min="16" max="16" width="10.54296875" style="85" customWidth="1"/>
    <col min="17" max="17" width="5.6328125" style="89" customWidth="1"/>
  </cols>
  <sheetData>
    <row r="4" spans="1:17">
      <c r="A4" s="88"/>
      <c r="B4" s="92" t="s">
        <v>153</v>
      </c>
      <c r="C4" s="75" t="s">
        <v>147</v>
      </c>
      <c r="D4" s="92" t="s">
        <v>117</v>
      </c>
      <c r="E4" s="75" t="s">
        <v>149</v>
      </c>
      <c r="F4" s="92" t="s">
        <v>118</v>
      </c>
      <c r="G4" s="75" t="s">
        <v>150</v>
      </c>
      <c r="H4" s="92" t="s">
        <v>121</v>
      </c>
      <c r="I4" s="75" t="s">
        <v>154</v>
      </c>
      <c r="J4" s="92" t="s">
        <v>120</v>
      </c>
      <c r="K4" s="75" t="s">
        <v>155</v>
      </c>
      <c r="L4" s="92" t="s">
        <v>119</v>
      </c>
      <c r="M4" s="75" t="s">
        <v>156</v>
      </c>
      <c r="N4" s="78" t="s">
        <v>151</v>
      </c>
      <c r="O4" s="9" t="s">
        <v>152</v>
      </c>
      <c r="P4" s="74" t="s">
        <v>161</v>
      </c>
      <c r="Q4" s="88" t="s">
        <v>162</v>
      </c>
    </row>
    <row r="5" spans="1:17">
      <c r="A5" s="88"/>
      <c r="B5" s="92" t="s">
        <v>160</v>
      </c>
      <c r="C5" s="75" t="s">
        <v>148</v>
      </c>
      <c r="D5" s="92" t="s">
        <v>168</v>
      </c>
      <c r="E5" s="75" t="s">
        <v>148</v>
      </c>
      <c r="F5" s="92" t="str">
        <f>D5</f>
        <v>Production, kWh</v>
      </c>
      <c r="G5" s="75" t="s">
        <v>148</v>
      </c>
      <c r="H5" s="92" t="str">
        <f>F5</f>
        <v>Production, kWh</v>
      </c>
      <c r="I5" s="75" t="s">
        <v>148</v>
      </c>
      <c r="J5" s="92" t="str">
        <f>H5</f>
        <v>Production, kWh</v>
      </c>
      <c r="K5" s="75" t="s">
        <v>148</v>
      </c>
      <c r="L5" s="92" t="str">
        <f>J5</f>
        <v>Production, kWh</v>
      </c>
      <c r="M5" s="75" t="s">
        <v>148</v>
      </c>
      <c r="N5" s="78" t="s">
        <v>157</v>
      </c>
      <c r="O5" s="9" t="s">
        <v>157</v>
      </c>
      <c r="P5" s="74" t="s">
        <v>159</v>
      </c>
    </row>
    <row r="6" spans="1:17">
      <c r="A6" s="88" t="s">
        <v>146</v>
      </c>
      <c r="B6" s="23">
        <f>Global_kWh!$G$8</f>
        <v>2.4453924315294584E-2</v>
      </c>
      <c r="C6" s="76"/>
      <c r="D6" s="23">
        <f>Global_kWh!F10</f>
        <v>0.25882478628930256</v>
      </c>
      <c r="E6" s="76"/>
      <c r="F6" s="23">
        <f>Global_kWh!$G$10</f>
        <v>0.14631279698941668</v>
      </c>
      <c r="G6" s="76"/>
      <c r="H6" s="23">
        <f>Global_kWh!$G$11</f>
        <v>6.4554207985248802E-2</v>
      </c>
      <c r="J6" s="23">
        <f>Global_kWh!$G$12</f>
        <v>3.3019013366860861E-2</v>
      </c>
      <c r="L6" s="23">
        <f>Global_kWh!$G$13</f>
        <v>7.5377764227122501E-3</v>
      </c>
      <c r="N6" s="78" t="s">
        <v>158</v>
      </c>
      <c r="O6" s="9" t="s">
        <v>158</v>
      </c>
      <c r="P6" s="74" t="s">
        <v>158</v>
      </c>
    </row>
    <row r="7" spans="1:17">
      <c r="N7" s="79" t="s">
        <v>169</v>
      </c>
      <c r="O7" s="81" t="s">
        <v>171</v>
      </c>
    </row>
    <row r="8" spans="1:17">
      <c r="A8" s="88">
        <v>2019</v>
      </c>
      <c r="B8" s="13">
        <v>26811000000000</v>
      </c>
      <c r="H8" s="13">
        <f>Global_kWh!$H$11</f>
        <v>655000000000</v>
      </c>
      <c r="I8" s="76">
        <f>H8/$B8</f>
        <v>2.4430271157360784E-2</v>
      </c>
      <c r="J8" s="13">
        <f>Global_kWh!$H$12</f>
        <v>92000000000</v>
      </c>
      <c r="K8" s="76">
        <f t="shared" ref="I8:K9" si="0">J8/$B8</f>
        <v>3.43142739920182E-3</v>
      </c>
      <c r="N8" s="79" t="s">
        <v>170</v>
      </c>
      <c r="O8" s="81" t="s">
        <v>172</v>
      </c>
    </row>
    <row r="9" spans="1:17">
      <c r="A9" s="88">
        <v>2020</v>
      </c>
      <c r="B9" s="13">
        <v>26659000000000</v>
      </c>
      <c r="H9" s="13">
        <f t="shared" ref="H9:H10" si="1">(1+H$6)*H8</f>
        <v>697283006230.33801</v>
      </c>
      <c r="I9" s="76">
        <f t="shared" si="0"/>
        <v>2.6155632477975092E-2</v>
      </c>
      <c r="J9" s="13">
        <f>(1+J$6)*J8</f>
        <v>95037749229.751205</v>
      </c>
      <c r="K9" s="76">
        <f t="shared" si="0"/>
        <v>3.5649405165141682E-3</v>
      </c>
    </row>
    <row r="10" spans="1:17">
      <c r="A10" s="88">
        <v>2021</v>
      </c>
      <c r="B10" s="13">
        <f>Global_kWh!$H$8</f>
        <v>28214000000000</v>
      </c>
      <c r="C10" s="76">
        <f>B10/$B10</f>
        <v>1</v>
      </c>
      <c r="D10" s="13">
        <f>Global_kWh!$H$9</f>
        <v>1002900000000</v>
      </c>
      <c r="E10" s="76">
        <f t="shared" ref="C10:E14" si="2">D10/$B10</f>
        <v>3.5546182746154391E-2</v>
      </c>
      <c r="F10" s="13">
        <f>Global_kWh!$H$10</f>
        <v>1870300000000</v>
      </c>
      <c r="G10" s="76">
        <f t="shared" ref="G10:I11" si="3">F10/$B10</f>
        <v>6.6289785213014818E-2</v>
      </c>
      <c r="H10" s="13">
        <f t="shared" si="1"/>
        <v>742295558439.11084</v>
      </c>
      <c r="I10" s="76">
        <f t="shared" si="3"/>
        <v>2.6309476091270677E-2</v>
      </c>
      <c r="J10" s="13">
        <f>(1+J$6)*J9</f>
        <v>98175801941.924728</v>
      </c>
      <c r="K10" s="76">
        <f t="shared" ref="K10" si="4">J10/$B10</f>
        <v>3.4796839137281039E-3</v>
      </c>
      <c r="L10" s="13">
        <f>Global_kWh!$H$13</f>
        <v>4327400000000</v>
      </c>
      <c r="M10" s="76">
        <f>L10/$B10</f>
        <v>0.15337775572410861</v>
      </c>
      <c r="N10" s="83">
        <f>E10+G10+I10+K10+M10</f>
        <v>0.28500288368827664</v>
      </c>
      <c r="O10" s="84">
        <f>C10-N10</f>
        <v>0.71499711631172336</v>
      </c>
      <c r="P10" s="90">
        <f>N10+O10</f>
        <v>1</v>
      </c>
      <c r="Q10" s="88">
        <f>A10</f>
        <v>2021</v>
      </c>
    </row>
    <row r="11" spans="1:17">
      <c r="A11" s="88">
        <v>2022</v>
      </c>
      <c r="B11" s="13">
        <f>(1+B$6)*B10</f>
        <v>28903943020631.723</v>
      </c>
      <c r="C11" s="76">
        <f t="shared" si="2"/>
        <v>1</v>
      </c>
      <c r="D11" s="13">
        <f>(1+D$6)*D10</f>
        <v>1262475378169.5415</v>
      </c>
      <c r="E11" s="76">
        <f t="shared" si="2"/>
        <v>4.3678309816359062E-2</v>
      </c>
      <c r="F11" s="13">
        <f>(1+F$6)*F10</f>
        <v>2143948824209.3059</v>
      </c>
      <c r="G11" s="76">
        <f t="shared" si="3"/>
        <v>7.4174960235665721E-2</v>
      </c>
      <c r="H11" s="13">
        <f>(1+H$6)*H10</f>
        <v>790213860305.1156</v>
      </c>
      <c r="I11" s="76">
        <f t="shared" si="3"/>
        <v>2.7339310063718938E-2</v>
      </c>
      <c r="J11" s="13">
        <f>(1+J$6)*J10</f>
        <v>101417470058.54742</v>
      </c>
      <c r="K11" s="76">
        <f t="shared" ref="K11" si="5">J11/$B11</f>
        <v>3.5087762934681724E-3</v>
      </c>
      <c r="L11" s="13">
        <f>(1+L$6)*L10</f>
        <v>4360018973691.645</v>
      </c>
      <c r="M11" s="76">
        <f>L11/$B11</f>
        <v>0.15084512762080421</v>
      </c>
      <c r="N11" s="83">
        <f t="shared" ref="N11:N14" si="6">E11+G11+I11+K11+M11</f>
        <v>0.2995464840300161</v>
      </c>
      <c r="O11" s="84">
        <f t="shared" ref="O11:O14" si="7">C11-N11</f>
        <v>0.70045351596998384</v>
      </c>
      <c r="P11" s="90">
        <f t="shared" ref="P11:P43" si="8">N11+O11</f>
        <v>1</v>
      </c>
      <c r="Q11" s="88">
        <f t="shared" ref="Q11:Q30" si="9">A11</f>
        <v>2022</v>
      </c>
    </row>
    <row r="12" spans="1:17">
      <c r="A12" s="88">
        <v>2023</v>
      </c>
      <c r="B12" s="13">
        <f t="shared" ref="B12:D19" si="10">(1+B$6)*B11</f>
        <v>29610757855671.84</v>
      </c>
      <c r="C12" s="76">
        <f t="shared" si="2"/>
        <v>1</v>
      </c>
      <c r="D12" s="13">
        <f>(1+D$6)*D11</f>
        <v>1589235298119.7795</v>
      </c>
      <c r="E12" s="76">
        <f t="shared" ref="E12:G12" si="11">D12/$B12</f>
        <v>5.3670875492819139E-2</v>
      </c>
      <c r="F12" s="13">
        <f>(1+F$6)*F11</f>
        <v>2457635973281.5405</v>
      </c>
      <c r="G12" s="76">
        <f t="shared" si="11"/>
        <v>8.2998077430523745E-2</v>
      </c>
      <c r="H12" s="13">
        <f>(1+H$6)*H11</f>
        <v>841225490196.07837</v>
      </c>
      <c r="I12" s="76">
        <f t="shared" ref="I12:K12" si="12">H12/$B12</f>
        <v>2.8409454911500837E-2</v>
      </c>
      <c r="J12" s="13">
        <f>(1+J$6)*J11</f>
        <v>104766174858.04381</v>
      </c>
      <c r="K12" s="76">
        <f t="shared" si="12"/>
        <v>3.5381119040820566E-3</v>
      </c>
      <c r="L12" s="13">
        <f>(1+L$6)*L11</f>
        <v>4392883821914.1157</v>
      </c>
      <c r="M12" s="76">
        <f t="shared" ref="M12" si="13">L12/$B12</f>
        <v>0.1483543191743292</v>
      </c>
      <c r="N12" s="83">
        <f t="shared" si="6"/>
        <v>0.316970838913255</v>
      </c>
      <c r="O12" s="84">
        <f t="shared" si="7"/>
        <v>0.68302916108674494</v>
      </c>
      <c r="P12" s="90">
        <f t="shared" si="8"/>
        <v>1</v>
      </c>
      <c r="Q12" s="88">
        <f t="shared" si="9"/>
        <v>2023</v>
      </c>
    </row>
    <row r="13" spans="1:17">
      <c r="A13" s="88">
        <v>2024</v>
      </c>
      <c r="B13" s="13">
        <f t="shared" si="10"/>
        <v>30334857087192.953</v>
      </c>
      <c r="C13" s="76">
        <f t="shared" si="2"/>
        <v>1</v>
      </c>
      <c r="D13" s="13">
        <f t="shared" si="10"/>
        <v>2000568784519.0474</v>
      </c>
      <c r="E13" s="76">
        <f t="shared" ref="E13:G13" si="14">D13/$B13</f>
        <v>6.5949504188159355E-2</v>
      </c>
      <c r="F13" s="13">
        <f t="shared" ref="F13:F14" si="15">(1+F$6)*F12</f>
        <v>2817219566514.1699</v>
      </c>
      <c r="G13" s="76">
        <f t="shared" si="14"/>
        <v>9.2870705090731059E-2</v>
      </c>
      <c r="H13" s="13">
        <f t="shared" ref="H13:H14" si="16">(1+H$6)*H12</f>
        <v>895530135452.68884</v>
      </c>
      <c r="I13" s="76">
        <f t="shared" ref="I13:K13" si="17">H13/$B13</f>
        <v>2.9521488526503457E-2</v>
      </c>
      <c r="J13" s="13">
        <f t="shared" ref="J13:J14" si="18">(1+J$6)*J12</f>
        <v>108225450586.07643</v>
      </c>
      <c r="K13" s="76">
        <f t="shared" si="17"/>
        <v>3.5676927791351964E-3</v>
      </c>
      <c r="L13" s="13">
        <f t="shared" ref="L13:L14" si="19">(1+L$6)*L12</f>
        <v>4425996398014.6543</v>
      </c>
      <c r="M13" s="76">
        <f t="shared" ref="M13" si="20">L13/$B13</f>
        <v>0.14590463984362273</v>
      </c>
      <c r="N13" s="83">
        <f t="shared" si="6"/>
        <v>0.33781403042815178</v>
      </c>
      <c r="O13" s="84">
        <f t="shared" si="7"/>
        <v>0.66218596957184817</v>
      </c>
      <c r="P13" s="90">
        <f t="shared" si="8"/>
        <v>1</v>
      </c>
      <c r="Q13" s="88">
        <f t="shared" si="9"/>
        <v>2024</v>
      </c>
    </row>
    <row r="14" spans="1:17">
      <c r="A14" s="88">
        <v>2025</v>
      </c>
      <c r="B14" s="13">
        <f t="shared" si="10"/>
        <v>31076663386518.445</v>
      </c>
      <c r="C14" s="76">
        <f t="shared" si="2"/>
        <v>1</v>
      </c>
      <c r="D14" s="13">
        <f t="shared" si="10"/>
        <v>2518365572629.2393</v>
      </c>
      <c r="E14" s="76">
        <f t="shared" ref="E14:G14" si="21">D14/$B14</f>
        <v>8.1037193128067495E-2</v>
      </c>
      <c r="F14" s="13">
        <f t="shared" si="15"/>
        <v>3229414841024.1699</v>
      </c>
      <c r="G14" s="76">
        <f t="shared" si="21"/>
        <v>0.10391768256643479</v>
      </c>
      <c r="H14" s="13">
        <f t="shared" si="16"/>
        <v>953340374073.75977</v>
      </c>
      <c r="I14" s="76">
        <f t="shared" ref="I14:K14" si="22">H14/$B14</f>
        <v>3.0677050564164945E-2</v>
      </c>
      <c r="J14" s="13">
        <f t="shared" si="18"/>
        <v>111798948185.61263</v>
      </c>
      <c r="K14" s="76">
        <f t="shared" si="22"/>
        <v>3.597520969194936E-3</v>
      </c>
      <c r="L14" s="13">
        <f t="shared" si="19"/>
        <v>4459358569310.6182</v>
      </c>
      <c r="M14" s="76">
        <f t="shared" ref="M14:M20" si="23">L14/$B14</f>
        <v>0.14349541049008369</v>
      </c>
      <c r="N14" s="83">
        <f t="shared" si="6"/>
        <v>0.36272485771794583</v>
      </c>
      <c r="O14" s="84">
        <f t="shared" si="7"/>
        <v>0.63727514228205417</v>
      </c>
      <c r="P14" s="90">
        <f t="shared" si="8"/>
        <v>1</v>
      </c>
      <c r="Q14" s="88">
        <f t="shared" si="9"/>
        <v>2025</v>
      </c>
    </row>
    <row r="15" spans="1:17">
      <c r="A15" s="88">
        <v>2026</v>
      </c>
      <c r="B15" s="13">
        <f t="shared" si="10"/>
        <v>31836609760944.254</v>
      </c>
      <c r="C15" s="76">
        <f t="shared" ref="C15" si="24">B15/$B15</f>
        <v>1</v>
      </c>
      <c r="D15" s="13">
        <f t="shared" ref="D15:D19" si="25">(1+D$6)*D14</f>
        <v>3170181003763.3389</v>
      </c>
      <c r="E15" s="76">
        <f t="shared" ref="E15" si="26">D15/$B15</f>
        <v>9.9576588951138162E-2</v>
      </c>
      <c r="F15" s="13">
        <f t="shared" ref="F15:F19" si="27">(1+F$6)*F14</f>
        <v>3701919559053.5488</v>
      </c>
      <c r="G15" s="76">
        <f t="shared" ref="G15" si="28">F15/$B15</f>
        <v>0.11627869885803294</v>
      </c>
      <c r="H15" s="13">
        <f t="shared" ref="H15:H19" si="29">(1+H$6)*H14</f>
        <v>1014882506862.4521</v>
      </c>
      <c r="I15" s="76">
        <f t="shared" ref="I15" si="30">H15/$B15</f>
        <v>3.1877844861090236E-2</v>
      </c>
      <c r="J15" s="13">
        <f t="shared" ref="J15:J19" si="31">(1+J$6)*J14</f>
        <v>115490439150.15436</v>
      </c>
      <c r="K15" s="76">
        <f t="shared" ref="K15" si="32">J15/$B15</f>
        <v>3.6275985419726734E-3</v>
      </c>
      <c r="L15" s="13">
        <f t="shared" ref="L15:L19" si="33">(1+L$6)*L14</f>
        <v>4492972217194.7871</v>
      </c>
      <c r="M15" s="76">
        <f t="shared" si="23"/>
        <v>0.1411259631892893</v>
      </c>
      <c r="N15" s="83">
        <f t="shared" ref="N15:N19" si="34">E15+G15+I15+K15+M15</f>
        <v>0.39248669440152328</v>
      </c>
      <c r="O15" s="84">
        <f t="shared" ref="O15:O19" si="35">C15-N15</f>
        <v>0.60751330559847672</v>
      </c>
      <c r="P15" s="90">
        <f t="shared" si="8"/>
        <v>1</v>
      </c>
      <c r="Q15" s="88">
        <f t="shared" si="9"/>
        <v>2026</v>
      </c>
    </row>
    <row r="16" spans="1:17">
      <c r="A16" s="88">
        <v>2027</v>
      </c>
      <c r="B16" s="13">
        <f t="shared" si="10"/>
        <v>32615139806493.953</v>
      </c>
      <c r="C16" s="76">
        <f t="shared" ref="C16" si="36">B16/$B16</f>
        <v>1</v>
      </c>
      <c r="D16" s="13">
        <f t="shared" si="25"/>
        <v>3990702424560.7915</v>
      </c>
      <c r="E16" s="76">
        <f t="shared" ref="E16" si="37">D16/$B16</f>
        <v>0.12235736066862447</v>
      </c>
      <c r="F16" s="13">
        <f t="shared" si="27"/>
        <v>4243557763968.5015</v>
      </c>
      <c r="G16" s="76">
        <f t="shared" ref="G16" si="38">F16/$B16</f>
        <v>0.13011005898320793</v>
      </c>
      <c r="H16" s="13">
        <f t="shared" si="29"/>
        <v>1080397443291.0416</v>
      </c>
      <c r="I16" s="76">
        <f t="shared" ref="I16" si="39">H16/$B16</f>
        <v>3.3125641947299743E-2</v>
      </c>
      <c r="J16" s="13">
        <f t="shared" si="31"/>
        <v>119303819504.19794</v>
      </c>
      <c r="K16" s="76">
        <f t="shared" ref="K16" si="40">J16/$B16</f>
        <v>3.657927582467193E-3</v>
      </c>
      <c r="L16" s="13">
        <f t="shared" si="33"/>
        <v>4526839237241.459</v>
      </c>
      <c r="M16" s="76">
        <f t="shared" si="23"/>
        <v>0.13879564104582273</v>
      </c>
      <c r="N16" s="83">
        <f t="shared" si="34"/>
        <v>0.42804663022742206</v>
      </c>
      <c r="O16" s="84">
        <f t="shared" si="35"/>
        <v>0.57195336977257794</v>
      </c>
      <c r="P16" s="90">
        <f t="shared" si="8"/>
        <v>1</v>
      </c>
      <c r="Q16" s="88">
        <f t="shared" si="9"/>
        <v>2027</v>
      </c>
    </row>
    <row r="17" spans="1:17">
      <c r="A17" s="88">
        <v>2028</v>
      </c>
      <c r="B17" s="13">
        <f t="shared" si="10"/>
        <v>33412707966854.707</v>
      </c>
      <c r="C17" s="76">
        <f t="shared" ref="C17" si="41">B17/$B17</f>
        <v>1</v>
      </c>
      <c r="D17" s="13">
        <f t="shared" si="25"/>
        <v>5023595126741.9395</v>
      </c>
      <c r="E17" s="76">
        <f t="shared" ref="E17" si="42">D17/$B17</f>
        <v>0.1503498349108767</v>
      </c>
      <c r="F17" s="13">
        <f t="shared" si="27"/>
        <v>4864444569600.8877</v>
      </c>
      <c r="G17" s="76">
        <f t="shared" ref="G17" si="43">F17/$B17</f>
        <v>0.14558666045345384</v>
      </c>
      <c r="H17" s="13">
        <f t="shared" si="29"/>
        <v>1150141644551.9827</v>
      </c>
      <c r="I17" s="76">
        <f t="shared" ref="I17" si="44">H17/$B17</f>
        <v>3.4422281656815101E-2</v>
      </c>
      <c r="J17" s="13">
        <f t="shared" si="31"/>
        <v>123243113915.1246</v>
      </c>
      <c r="K17" s="76">
        <f t="shared" ref="K17" si="45">J17/$B17</f>
        <v>3.6885101931092013E-3</v>
      </c>
      <c r="L17" s="13">
        <f t="shared" si="33"/>
        <v>4560961539313.3467</v>
      </c>
      <c r="M17" s="76">
        <f t="shared" si="23"/>
        <v>0.13650379801115806</v>
      </c>
      <c r="N17" s="83">
        <f t="shared" si="34"/>
        <v>0.47055108522541289</v>
      </c>
      <c r="O17" s="84">
        <f t="shared" si="35"/>
        <v>0.52944891477458711</v>
      </c>
      <c r="P17" s="90">
        <f t="shared" si="8"/>
        <v>1</v>
      </c>
      <c r="Q17" s="88">
        <f t="shared" si="9"/>
        <v>2028</v>
      </c>
    </row>
    <row r="18" spans="1:17">
      <c r="A18" s="88">
        <v>2029</v>
      </c>
      <c r="B18" s="13">
        <f t="shared" si="10"/>
        <v>34229779798645.211</v>
      </c>
      <c r="C18" s="76">
        <f t="shared" ref="C18" si="46">B18/$B18</f>
        <v>1</v>
      </c>
      <c r="D18" s="13">
        <f t="shared" si="25"/>
        <v>6323826061824.9033</v>
      </c>
      <c r="E18" s="76">
        <f t="shared" ref="E18" si="47">D18/$B18</f>
        <v>0.18474632612375719</v>
      </c>
      <c r="F18" s="13">
        <f t="shared" si="27"/>
        <v>5576175060379.1729</v>
      </c>
      <c r="G18" s="76">
        <f t="shared" ref="G18" si="48">F18/$B18</f>
        <v>0.16290420485263751</v>
      </c>
      <c r="H18" s="13">
        <f t="shared" si="29"/>
        <v>1224388127486.8875</v>
      </c>
      <c r="I18" s="76">
        <f t="shared" ref="I18" si="49">H18/$B18</f>
        <v>3.5769675840431434E-2</v>
      </c>
      <c r="J18" s="13">
        <f t="shared" si="31"/>
        <v>127312479940.86166</v>
      </c>
      <c r="K18" s="76">
        <f t="shared" ref="K18" si="50">J18/$B18</f>
        <v>3.7193484939070684E-3</v>
      </c>
      <c r="L18" s="13">
        <f t="shared" si="33"/>
        <v>4595341047669.2803</v>
      </c>
      <c r="M18" s="76">
        <f t="shared" si="23"/>
        <v>0.13424979870455259</v>
      </c>
      <c r="N18" s="83">
        <f t="shared" si="34"/>
        <v>0.52138935401528586</v>
      </c>
      <c r="O18" s="84">
        <f t="shared" si="35"/>
        <v>0.47861064598471414</v>
      </c>
      <c r="P18" s="90">
        <f t="shared" si="8"/>
        <v>1</v>
      </c>
      <c r="Q18" s="88">
        <f t="shared" si="9"/>
        <v>2029</v>
      </c>
    </row>
    <row r="19" spans="1:17">
      <c r="A19" s="88">
        <v>2030</v>
      </c>
      <c r="B19" s="13">
        <f t="shared" si="10"/>
        <v>35066832243170.48</v>
      </c>
      <c r="C19" s="76">
        <f t="shared" ref="C19:C30" si="51">B19/$B19</f>
        <v>1</v>
      </c>
      <c r="D19" s="13">
        <f t="shared" si="25"/>
        <v>7960588990807.4551</v>
      </c>
      <c r="E19" s="76">
        <f t="shared" ref="E19" si="52">D19/$B19</f>
        <v>0.22701192213784402</v>
      </c>
      <c r="F19" s="13">
        <f t="shared" si="27"/>
        <v>6392040829965.8789</v>
      </c>
      <c r="G19" s="76">
        <f t="shared" ref="G19" si="53">F19/$B19</f>
        <v>0.18228167248299923</v>
      </c>
      <c r="H19" s="13">
        <f t="shared" si="29"/>
        <v>1303427533323.3452</v>
      </c>
      <c r="I19" s="76">
        <f t="shared" ref="I19" si="54">H19/$B19</f>
        <v>3.7169811184675716E-2</v>
      </c>
      <c r="J19" s="13">
        <f t="shared" si="31"/>
        <v>131516212417.79718</v>
      </c>
      <c r="K19" s="76">
        <f t="shared" ref="K19" si="55">J19/$B19</f>
        <v>3.7504446225937876E-3</v>
      </c>
      <c r="L19" s="13">
        <f t="shared" si="33"/>
        <v>4629979701072.7236</v>
      </c>
      <c r="M19" s="76">
        <f t="shared" si="23"/>
        <v>0.13203301823689664</v>
      </c>
      <c r="N19" s="83">
        <f t="shared" si="34"/>
        <v>0.58224686866500941</v>
      </c>
      <c r="O19" s="84">
        <f t="shared" si="35"/>
        <v>0.41775313133499059</v>
      </c>
      <c r="P19" s="90">
        <f t="shared" si="8"/>
        <v>1</v>
      </c>
      <c r="Q19" s="88">
        <f t="shared" si="9"/>
        <v>2030</v>
      </c>
    </row>
    <row r="20" spans="1:17">
      <c r="A20" s="88">
        <v>2031</v>
      </c>
      <c r="B20" s="13">
        <f t="shared" ref="B20" si="56">(1+B$6)*B19</f>
        <v>35924353904822.102</v>
      </c>
      <c r="C20" s="76">
        <f t="shared" si="51"/>
        <v>1</v>
      </c>
      <c r="D20" s="13">
        <f t="shared" ref="D20" si="57">(1+D$6)*D19</f>
        <v>10020986735090.168</v>
      </c>
      <c r="E20" s="76">
        <f t="shared" ref="E20" si="58">D20/$B20</f>
        <v>0.2789468882763973</v>
      </c>
      <c r="F20" s="13">
        <f t="shared" ref="F20" si="59">(1+F$6)*F19</f>
        <v>7327278202268.7393</v>
      </c>
      <c r="G20" s="76">
        <f t="shared" ref="G20" si="60">F20/$B20</f>
        <v>0.20396409137048402</v>
      </c>
      <c r="H20" s="13">
        <f t="shared" ref="H20" si="61">(1+H$6)*H19</f>
        <v>1387569265403.2002</v>
      </c>
      <c r="I20" s="76">
        <f t="shared" ref="I20" si="62">H20/$B20</f>
        <v>3.8624752141108033E-2</v>
      </c>
      <c r="J20" s="13">
        <f t="shared" ref="J20" si="63">(1+J$6)*J19</f>
        <v>135858747993.57933</v>
      </c>
      <c r="K20" s="76">
        <f t="shared" ref="K20" si="64">J20/$B20</f>
        <v>3.7818007347751662E-3</v>
      </c>
      <c r="L20" s="13">
        <f t="shared" ref="L20" si="65">(1+L$6)*L19</f>
        <v>4664879452901.1055</v>
      </c>
      <c r="M20" s="76">
        <f t="shared" si="23"/>
        <v>0.12985284203747202</v>
      </c>
      <c r="N20" s="83">
        <f t="shared" ref="N20:N30" si="66">E20+G20+I20+K20+M20</f>
        <v>0.65517037456023663</v>
      </c>
      <c r="O20" s="84">
        <f t="shared" ref="O20:O22" si="67">C20-N20</f>
        <v>0.34482962543976337</v>
      </c>
      <c r="P20" s="90">
        <f t="shared" si="8"/>
        <v>1</v>
      </c>
      <c r="Q20" s="88">
        <f t="shared" si="9"/>
        <v>2031</v>
      </c>
    </row>
    <row r="21" spans="1:17">
      <c r="A21" s="88" t="s">
        <v>146</v>
      </c>
      <c r="B21" s="23">
        <v>0.03</v>
      </c>
      <c r="C21" s="76"/>
      <c r="D21" s="23">
        <v>0.215</v>
      </c>
      <c r="E21" s="82">
        <f>E22-E20</f>
        <v>5.0102111001100513E-2</v>
      </c>
      <c r="F21" s="23">
        <f>F$6</f>
        <v>0.14631279698941668</v>
      </c>
      <c r="G21" s="82">
        <f>G22-G20</f>
        <v>2.3032654323015461E-2</v>
      </c>
      <c r="H21" s="23">
        <f>H$6</f>
        <v>6.4554207985248802E-2</v>
      </c>
      <c r="I21" s="82">
        <f>I22-I20</f>
        <v>1.2957744843325528E-3</v>
      </c>
      <c r="J21" s="23">
        <f>J$6</f>
        <v>3.3019013366860861E-2</v>
      </c>
      <c r="K21" s="82">
        <f>K22-K20</f>
        <v>1.1084764047660824E-5</v>
      </c>
      <c r="L21" s="23">
        <v>0</v>
      </c>
      <c r="M21" s="82">
        <f>M22-M20</f>
        <v>-3.7821216127419122E-3</v>
      </c>
      <c r="N21" s="80">
        <f>N22-N20</f>
        <v>7.0659502959754095E-2</v>
      </c>
      <c r="O21" s="87">
        <f>O22-O20</f>
        <v>-7.0659502959754095E-2</v>
      </c>
      <c r="P21" s="86">
        <f t="shared" si="8"/>
        <v>0</v>
      </c>
      <c r="Q21" s="88"/>
    </row>
    <row r="22" spans="1:17">
      <c r="A22" s="88">
        <v>2032</v>
      </c>
      <c r="B22" s="13">
        <f>(1+B21)*B20</f>
        <v>37002084521966.766</v>
      </c>
      <c r="C22" s="76">
        <f t="shared" si="51"/>
        <v>1</v>
      </c>
      <c r="D22" s="13">
        <f>(1+D21)*D20</f>
        <v>12175498883134.555</v>
      </c>
      <c r="E22" s="76">
        <f t="shared" ref="E22:M22" si="68">D22/$B22</f>
        <v>0.32904899927749781</v>
      </c>
      <c r="F22" s="13">
        <f>(1+F21)*F20</f>
        <v>8399352770362.2637</v>
      </c>
      <c r="G22" s="76">
        <f t="shared" si="68"/>
        <v>0.22699674569349948</v>
      </c>
      <c r="H22" s="13">
        <f>(1+H21)*H20</f>
        <v>1477142700355.9773</v>
      </c>
      <c r="I22" s="76">
        <f t="shared" si="68"/>
        <v>3.9920526625440586E-2</v>
      </c>
      <c r="J22" s="13">
        <f>(1+J21)*J20</f>
        <v>140344669809.58432</v>
      </c>
      <c r="K22" s="76">
        <f t="shared" si="68"/>
        <v>3.792885498822827E-3</v>
      </c>
      <c r="L22" s="13">
        <f>(1+L21)*L20</f>
        <v>4664879452901.1055</v>
      </c>
      <c r="M22" s="76">
        <f t="shared" si="68"/>
        <v>0.12607072042473011</v>
      </c>
      <c r="N22" s="83">
        <f t="shared" si="66"/>
        <v>0.72582987751999073</v>
      </c>
      <c r="O22" s="84">
        <f t="shared" si="67"/>
        <v>0.27417012248000927</v>
      </c>
      <c r="P22" s="90">
        <f t="shared" si="8"/>
        <v>1</v>
      </c>
      <c r="Q22" s="88">
        <f t="shared" si="9"/>
        <v>2032</v>
      </c>
    </row>
    <row r="23" spans="1:17">
      <c r="A23" s="88" t="s">
        <v>146</v>
      </c>
      <c r="B23" s="23">
        <v>0.03</v>
      </c>
      <c r="C23" s="76"/>
      <c r="D23" s="23">
        <v>0.19</v>
      </c>
      <c r="E23" s="82">
        <f>E24-E22</f>
        <v>5.1114407654756833E-2</v>
      </c>
      <c r="F23" s="23">
        <f>F$6</f>
        <v>0.14631279698941668</v>
      </c>
      <c r="G23" s="82">
        <f>G24-G22</f>
        <v>2.563361786320989E-2</v>
      </c>
      <c r="H23" s="23">
        <f>H$6</f>
        <v>6.4554207985248802E-2</v>
      </c>
      <c r="I23" s="82">
        <f>I24-I22</f>
        <v>1.3392448348506156E-3</v>
      </c>
      <c r="J23" s="23">
        <f>J$6</f>
        <v>3.3019013366860861E-2</v>
      </c>
      <c r="K23" s="82">
        <f>K24-K22</f>
        <v>1.1117254388270156E-5</v>
      </c>
      <c r="L23" s="23">
        <v>0</v>
      </c>
      <c r="M23" s="82">
        <f>M24-M22</f>
        <v>-3.6719627308173935E-3</v>
      </c>
      <c r="N23" s="80">
        <f>N24-N22</f>
        <v>7.4426424876388397E-2</v>
      </c>
      <c r="O23" s="87">
        <f>O24-O22</f>
        <v>-2.4170122480009271E-2</v>
      </c>
      <c r="P23" s="91">
        <f t="shared" si="8"/>
        <v>5.0256302396379127E-2</v>
      </c>
      <c r="Q23" s="88"/>
    </row>
    <row r="24" spans="1:17">
      <c r="A24" s="88">
        <v>2033</v>
      </c>
      <c r="B24" s="13">
        <f>(1+B23)*B22</f>
        <v>38112147057625.773</v>
      </c>
      <c r="C24" s="76">
        <f t="shared" si="51"/>
        <v>1</v>
      </c>
      <c r="D24" s="13">
        <f>(1+D23)*D22</f>
        <v>14488843670930.119</v>
      </c>
      <c r="E24" s="76">
        <f t="shared" ref="E24:M24" si="69">D24/$B24</f>
        <v>0.38016340693225464</v>
      </c>
      <c r="F24" s="13">
        <f>(1+F23)*F22</f>
        <v>9628285567094.7715</v>
      </c>
      <c r="G24" s="76">
        <f t="shared" si="69"/>
        <v>0.25263036355670937</v>
      </c>
      <c r="H24" s="13">
        <f>(1+H23)*H22</f>
        <v>1572498477458.6492</v>
      </c>
      <c r="I24" s="76">
        <f t="shared" si="69"/>
        <v>4.1259771460291202E-2</v>
      </c>
      <c r="J24" s="13">
        <f>(1+J23)*J22</f>
        <v>144978712337.99466</v>
      </c>
      <c r="K24" s="76">
        <f t="shared" si="69"/>
        <v>3.8040027532110971E-3</v>
      </c>
      <c r="L24" s="13">
        <f>(1+L23)*L22</f>
        <v>4664879452901.1055</v>
      </c>
      <c r="M24" s="76">
        <f t="shared" si="69"/>
        <v>0.12239875769391272</v>
      </c>
      <c r="N24" s="83">
        <f t="shared" si="66"/>
        <v>0.80025630239637913</v>
      </c>
      <c r="O24" s="84">
        <v>0.25</v>
      </c>
      <c r="P24" s="90">
        <f t="shared" si="8"/>
        <v>1.0502563023963791</v>
      </c>
      <c r="Q24" s="88">
        <f t="shared" si="9"/>
        <v>2033</v>
      </c>
    </row>
    <row r="25" spans="1:17">
      <c r="A25" s="88" t="s">
        <v>146</v>
      </c>
      <c r="B25" s="23">
        <v>3.5000000000000003E-2</v>
      </c>
      <c r="C25" s="76"/>
      <c r="D25" s="23">
        <v>0.17</v>
      </c>
      <c r="E25" s="82">
        <f>E26-E24</f>
        <v>4.958653133898977E-2</v>
      </c>
      <c r="F25" s="23">
        <f>F$6</f>
        <v>0.14631279698941668</v>
      </c>
      <c r="G25" s="82">
        <f>G26-G24</f>
        <v>2.7170040939082707E-2</v>
      </c>
      <c r="H25" s="23">
        <f>H$6</f>
        <v>6.4554207985248802E-2</v>
      </c>
      <c r="I25" s="82">
        <f>I26-I24</f>
        <v>1.1781641228611472E-3</v>
      </c>
      <c r="J25" s="23">
        <f>J$6</f>
        <v>3.3019013366860861E-2</v>
      </c>
      <c r="K25" s="82">
        <f>K26-K24</f>
        <v>-7.280848895203397E-6</v>
      </c>
      <c r="L25" s="23">
        <v>0</v>
      </c>
      <c r="M25" s="82">
        <f>M26-M24</f>
        <v>-4.1390884244318221E-3</v>
      </c>
      <c r="N25" s="80">
        <f>N26-N24</f>
        <v>7.3788367127606502E-2</v>
      </c>
      <c r="O25" s="87">
        <f>O26-O24</f>
        <v>-1.999999999999999E-2</v>
      </c>
      <c r="P25" s="91">
        <f t="shared" si="8"/>
        <v>5.3788367127606512E-2</v>
      </c>
      <c r="Q25" s="88"/>
    </row>
    <row r="26" spans="1:17">
      <c r="A26" s="88">
        <v>2034</v>
      </c>
      <c r="B26" s="13">
        <f>(1+B25)*B24</f>
        <v>39446072204642.672</v>
      </c>
      <c r="C26" s="76">
        <f t="shared" si="51"/>
        <v>1</v>
      </c>
      <c r="D26" s="13">
        <f>(1+D25)*D24</f>
        <v>16951947094988.238</v>
      </c>
      <c r="E26" s="76">
        <f t="shared" ref="E26:M28" si="70">D26/$B26</f>
        <v>0.42974993827124441</v>
      </c>
      <c r="F26" s="13">
        <f>(1+F25)*F24</f>
        <v>11037026958629.24</v>
      </c>
      <c r="G26" s="76">
        <f t="shared" si="70"/>
        <v>0.27980040449579208</v>
      </c>
      <c r="H26" s="13">
        <f>(1+H25)*H24</f>
        <v>1674009871229.002</v>
      </c>
      <c r="I26" s="76">
        <f t="shared" si="70"/>
        <v>4.2437935583152349E-2</v>
      </c>
      <c r="J26" s="13">
        <f>(1+J25)*J24</f>
        <v>149765766378.59317</v>
      </c>
      <c r="K26" s="76">
        <f t="shared" si="70"/>
        <v>3.7967219043158937E-3</v>
      </c>
      <c r="L26" s="13">
        <f>(1+L25)*L24</f>
        <v>4664879452901.1055</v>
      </c>
      <c r="M26" s="76">
        <f t="shared" si="70"/>
        <v>0.11825966926948089</v>
      </c>
      <c r="N26" s="83">
        <f t="shared" si="66"/>
        <v>0.87404466952398563</v>
      </c>
      <c r="O26" s="84">
        <v>0.23</v>
      </c>
      <c r="P26" s="90">
        <f t="shared" si="8"/>
        <v>1.1040446695239856</v>
      </c>
      <c r="Q26" s="88">
        <f t="shared" si="9"/>
        <v>2034</v>
      </c>
    </row>
    <row r="27" spans="1:17">
      <c r="A27" s="88" t="s">
        <v>146</v>
      </c>
      <c r="B27" s="23">
        <v>3.5000000000000003E-2</v>
      </c>
      <c r="C27" s="76"/>
      <c r="D27" s="23">
        <v>0.16</v>
      </c>
      <c r="E27" s="82">
        <f>E28-E26</f>
        <v>5.1902166457879761E-2</v>
      </c>
      <c r="F27" s="23">
        <f>F$6</f>
        <v>0.14631279698941668</v>
      </c>
      <c r="G27" s="82">
        <f>G28-G26</f>
        <v>3.0092140698740832E-2</v>
      </c>
      <c r="H27" s="23">
        <f>H$6</f>
        <v>6.4554207985248802E-2</v>
      </c>
      <c r="I27" s="82">
        <f>I28-I26</f>
        <v>1.2118063523565911E-3</v>
      </c>
      <c r="J27" s="23">
        <f>J$6</f>
        <v>3.3019013366860861E-2</v>
      </c>
      <c r="K27" s="82">
        <f>K28-K26</f>
        <v>-7.2669133741021762E-6</v>
      </c>
      <c r="L27" s="23">
        <v>0</v>
      </c>
      <c r="M27" s="82">
        <f>M28-M26</f>
        <v>-3.9991192506587669E-3</v>
      </c>
      <c r="N27" s="80">
        <f>N28-N26</f>
        <v>7.9199727344944293E-2</v>
      </c>
      <c r="O27" s="87">
        <f>O28-O26</f>
        <v>-2.0000000000000018E-2</v>
      </c>
      <c r="P27" s="91">
        <f t="shared" si="8"/>
        <v>5.9199727344944275E-2</v>
      </c>
      <c r="Q27" s="88"/>
    </row>
    <row r="28" spans="1:17">
      <c r="A28" s="88">
        <v>2035</v>
      </c>
      <c r="B28" s="13">
        <f>(1+B27)*B26</f>
        <v>40826684731805.164</v>
      </c>
      <c r="C28" s="76">
        <f t="shared" si="51"/>
        <v>1</v>
      </c>
      <c r="D28" s="13">
        <f>(1+D27)*D26</f>
        <v>19664258630186.355</v>
      </c>
      <c r="E28" s="76">
        <f t="shared" si="70"/>
        <v>0.48165210472912418</v>
      </c>
      <c r="F28" s="13">
        <f>(1+F27)*F26</f>
        <v>12651885243393.879</v>
      </c>
      <c r="G28" s="76">
        <f t="shared" si="70"/>
        <v>0.30989254519453291</v>
      </c>
      <c r="H28" s="13">
        <f>(1+H27)*H26</f>
        <v>1782074252625.6785</v>
      </c>
      <c r="I28" s="76">
        <f t="shared" si="70"/>
        <v>4.364974193550894E-2</v>
      </c>
      <c r="J28" s="13">
        <f>(1+J27)*J26</f>
        <v>154710884220.54611</v>
      </c>
      <c r="K28" s="76">
        <f t="shared" si="70"/>
        <v>3.7894549909417916E-3</v>
      </c>
      <c r="L28" s="13">
        <f>(1+L27)*L26</f>
        <v>4664879452901.1055</v>
      </c>
      <c r="M28" s="76">
        <f t="shared" si="70"/>
        <v>0.11426055001882213</v>
      </c>
      <c r="N28" s="83">
        <f t="shared" si="66"/>
        <v>0.95324439686892992</v>
      </c>
      <c r="O28" s="84">
        <v>0.21</v>
      </c>
      <c r="P28" s="90">
        <f t="shared" si="8"/>
        <v>1.1632443968689299</v>
      </c>
      <c r="Q28" s="88">
        <f t="shared" si="9"/>
        <v>2035</v>
      </c>
    </row>
    <row r="29" spans="1:17">
      <c r="A29" s="88" t="s">
        <v>146</v>
      </c>
      <c r="B29" s="23">
        <v>3.5000000000000003E-2</v>
      </c>
      <c r="C29" s="76"/>
      <c r="D29" s="23">
        <v>0.16</v>
      </c>
      <c r="E29" s="82">
        <f>E30-E28</f>
        <v>5.8170544049411077E-2</v>
      </c>
      <c r="F29" s="23">
        <f>F$6</f>
        <v>0.14631279698941668</v>
      </c>
      <c r="G29" s="82">
        <f>G30-G28</f>
        <v>3.3328508185287653E-2</v>
      </c>
      <c r="H29" s="23">
        <f>H$6</f>
        <v>6.4554207985248802E-2</v>
      </c>
      <c r="I29" s="82">
        <f>I30-I28</f>
        <v>1.2464092286613229E-3</v>
      </c>
      <c r="J29" s="23">
        <f>J$6</f>
        <v>3.3019013366860861E-2</v>
      </c>
      <c r="K29" s="82">
        <f>K30-K28</f>
        <v>-7.2530045255436021E-6</v>
      </c>
      <c r="L29" s="23">
        <v>0</v>
      </c>
      <c r="M29" s="82">
        <f>M30-M28</f>
        <v>-3.8638833339698364E-3</v>
      </c>
      <c r="N29" s="80">
        <f>N30-N28</f>
        <v>8.8874325124864706E-2</v>
      </c>
      <c r="O29" s="87">
        <f>O30-O28</f>
        <v>-1.999999999999999E-2</v>
      </c>
      <c r="P29" s="91">
        <f t="shared" si="8"/>
        <v>6.8874325124864716E-2</v>
      </c>
      <c r="Q29" s="88"/>
    </row>
    <row r="30" spans="1:17">
      <c r="A30" s="88">
        <v>2036</v>
      </c>
      <c r="B30" s="13">
        <f>(1+B29)*B28</f>
        <v>42255618697418.344</v>
      </c>
      <c r="C30" s="76">
        <f t="shared" si="51"/>
        <v>1</v>
      </c>
      <c r="D30" s="13">
        <f>(1+D29)*D28</f>
        <v>22810540011016.172</v>
      </c>
      <c r="E30" s="76">
        <f t="shared" ref="E30:M30" si="71">D30/$B30</f>
        <v>0.53982264877853525</v>
      </c>
      <c r="F30" s="13">
        <f>(1+F29)*F28</f>
        <v>14503017960543.965</v>
      </c>
      <c r="G30" s="76">
        <f t="shared" si="71"/>
        <v>0.34322105337982056</v>
      </c>
      <c r="H30" s="13">
        <f>(1+H29)*H28</f>
        <v>1897114644574.8333</v>
      </c>
      <c r="I30" s="76">
        <f t="shared" si="71"/>
        <v>4.4896151164170263E-2</v>
      </c>
      <c r="J30" s="13">
        <f>(1+J29)*J28</f>
        <v>159819284974.6232</v>
      </c>
      <c r="K30" s="76">
        <f t="shared" si="71"/>
        <v>3.782201986416248E-3</v>
      </c>
      <c r="L30" s="13">
        <f>(1+L29)*L28</f>
        <v>4664879452901.1055</v>
      </c>
      <c r="M30" s="76">
        <f t="shared" si="71"/>
        <v>0.11039666668485229</v>
      </c>
      <c r="N30" s="83">
        <f t="shared" si="66"/>
        <v>1.0421187219937946</v>
      </c>
      <c r="O30" s="84">
        <v>0.19</v>
      </c>
      <c r="P30" s="90">
        <f t="shared" si="8"/>
        <v>1.2321187219937946</v>
      </c>
      <c r="Q30" s="88">
        <f t="shared" si="9"/>
        <v>2036</v>
      </c>
    </row>
    <row r="31" spans="1:17">
      <c r="A31" s="88" t="s">
        <v>146</v>
      </c>
      <c r="B31" s="23">
        <v>3.5000000000000003E-2</v>
      </c>
      <c r="C31" s="76"/>
      <c r="D31" s="23">
        <v>0.16</v>
      </c>
      <c r="E31" s="82">
        <f>E32-E30</f>
        <v>6.5195972074702402E-2</v>
      </c>
      <c r="F31" s="23">
        <f>F$6</f>
        <v>0.14631279698941668</v>
      </c>
      <c r="G31" s="82">
        <f>G32-G30</f>
        <v>3.691294245155724E-2</v>
      </c>
      <c r="H31" s="23">
        <f>H$6</f>
        <v>6.4554207985248802E-2</v>
      </c>
      <c r="I31" s="82">
        <f>I32-I30</f>
        <v>1.2820001828435373E-3</v>
      </c>
      <c r="J31" s="23">
        <f>J$6</f>
        <v>3.3019013366860861E-2</v>
      </c>
      <c r="K31" s="82">
        <f>K32-K30</f>
        <v>-7.2391222984764976E-6</v>
      </c>
      <c r="L31" s="23">
        <v>0</v>
      </c>
      <c r="M31" s="82">
        <f>M32-M30</f>
        <v>-3.7332206125312295E-3</v>
      </c>
      <c r="N31" s="80">
        <f>N32-N30</f>
        <v>9.9650454974273384E-2</v>
      </c>
      <c r="O31" s="87">
        <f>O32-O30</f>
        <v>-1.999999999999999E-2</v>
      </c>
      <c r="P31" s="91">
        <f t="shared" si="8"/>
        <v>7.9650454974273394E-2</v>
      </c>
      <c r="Q31" s="88"/>
    </row>
    <row r="32" spans="1:17">
      <c r="A32" s="88">
        <v>2037</v>
      </c>
      <c r="B32" s="13">
        <f>(1+B31)*B30</f>
        <v>43734565351827.984</v>
      </c>
      <c r="C32" s="76">
        <f t="shared" ref="C32" si="72">B32/$B32</f>
        <v>1</v>
      </c>
      <c r="D32" s="13">
        <f>(1+D31)*D30</f>
        <v>26460226412778.758</v>
      </c>
      <c r="E32" s="76">
        <f t="shared" ref="E32" si="73">D32/$B32</f>
        <v>0.60501862085323765</v>
      </c>
      <c r="F32" s="13">
        <f>(1+F31)*F30</f>
        <v>16624995083138.898</v>
      </c>
      <c r="G32" s="76">
        <f t="shared" ref="G32" si="74">F32/$B32</f>
        <v>0.3801339958313778</v>
      </c>
      <c r="H32" s="13">
        <f>(1+H31)*H30</f>
        <v>2019581377912.5784</v>
      </c>
      <c r="I32" s="76">
        <f t="shared" ref="I32" si="75">H32/$B32</f>
        <v>4.61781513470138E-2</v>
      </c>
      <c r="J32" s="13">
        <f>(1+J31)*J30</f>
        <v>165096360081.48242</v>
      </c>
      <c r="K32" s="76">
        <f t="shared" ref="K32" si="76">J32/$B32</f>
        <v>3.7749628641177715E-3</v>
      </c>
      <c r="L32" s="13">
        <f>(1+L31)*L30</f>
        <v>4664879452901.1055</v>
      </c>
      <c r="M32" s="76">
        <f t="shared" ref="M32" si="77">L32/$B32</f>
        <v>0.10666344607232106</v>
      </c>
      <c r="N32" s="83">
        <f t="shared" ref="N32" si="78">E32+G32+I32+K32+M32</f>
        <v>1.141769176968068</v>
      </c>
      <c r="O32" s="84">
        <v>0.17</v>
      </c>
      <c r="P32" s="90">
        <f t="shared" ref="P32" si="79">N32+O32</f>
        <v>1.3117691769680679</v>
      </c>
      <c r="Q32" s="88">
        <f t="shared" ref="Q32" si="80">A32</f>
        <v>2037</v>
      </c>
    </row>
    <row r="33" spans="1:17">
      <c r="A33" s="88" t="s">
        <v>146</v>
      </c>
      <c r="B33" s="23">
        <v>3.5000000000000003E-2</v>
      </c>
      <c r="C33" s="76"/>
      <c r="D33" s="23">
        <v>0.16</v>
      </c>
      <c r="E33" s="82">
        <f>E34-E32</f>
        <v>7.3069881745560061E-2</v>
      </c>
      <c r="F33" s="23">
        <f>F$6</f>
        <v>0.14631279698941668</v>
      </c>
      <c r="G33" s="82">
        <f>G34-G32</f>
        <v>4.0882877591066569E-2</v>
      </c>
      <c r="H33" s="23">
        <f>H$6</f>
        <v>6.4554207985248802E-2</v>
      </c>
      <c r="I33" s="82">
        <f>I34-I32</f>
        <v>1.3186074292598493E-3</v>
      </c>
      <c r="J33" s="23">
        <f>J$6</f>
        <v>3.3019013366860861E-2</v>
      </c>
      <c r="K33" s="82">
        <f>K34-K32</f>
        <v>-7.2252666419450953E-6</v>
      </c>
      <c r="L33" s="23">
        <v>0</v>
      </c>
      <c r="M33" s="82">
        <f>M34-M32</f>
        <v>-3.6069764372282376E-3</v>
      </c>
      <c r="N33" s="80">
        <f>N34-N32</f>
        <v>0.11165716506201639</v>
      </c>
      <c r="O33" s="87">
        <f>O34-O32</f>
        <v>-4.0000000000000008E-2</v>
      </c>
      <c r="P33" s="91">
        <f t="shared" si="8"/>
        <v>7.1657165062016387E-2</v>
      </c>
      <c r="Q33" s="88"/>
    </row>
    <row r="34" spans="1:17">
      <c r="A34" s="88">
        <v>2038</v>
      </c>
      <c r="B34" s="13">
        <f>(1+B33)*B32</f>
        <v>45265275139141.961</v>
      </c>
      <c r="C34" s="76">
        <f t="shared" ref="C34" si="81">B34/$B34</f>
        <v>1</v>
      </c>
      <c r="D34" s="13">
        <f>(1+D33)*D32</f>
        <v>30693862638823.355</v>
      </c>
      <c r="E34" s="76">
        <f t="shared" ref="E34" si="82">D34/$B34</f>
        <v>0.67808850259879772</v>
      </c>
      <c r="F34" s="13">
        <f>(1+F33)*F32</f>
        <v>19057444613688.25</v>
      </c>
      <c r="G34" s="76">
        <f t="shared" ref="G34" si="83">F34/$B34</f>
        <v>0.42101687342244437</v>
      </c>
      <c r="H34" s="13">
        <f>(1+H33)*H32</f>
        <v>2149953854225.4824</v>
      </c>
      <c r="I34" s="76">
        <f t="shared" ref="I34" si="84">H34/$B34</f>
        <v>4.749675877627365E-2</v>
      </c>
      <c r="J34" s="13">
        <f>(1+J33)*J32</f>
        <v>170547679001.83298</v>
      </c>
      <c r="K34" s="76">
        <f t="shared" ref="K34" si="85">J34/$B34</f>
        <v>3.7677375974758264E-3</v>
      </c>
      <c r="L34" s="13">
        <f>(1+L33)*L32</f>
        <v>4664879452901.1055</v>
      </c>
      <c r="M34" s="76">
        <f t="shared" ref="M34" si="86">L34/$B34</f>
        <v>0.10305646963509282</v>
      </c>
      <c r="N34" s="83">
        <f t="shared" ref="N34" si="87">E34+G34+I34+K34+M34</f>
        <v>1.2534263420300844</v>
      </c>
      <c r="O34" s="84">
        <v>0.13</v>
      </c>
      <c r="P34" s="90">
        <f t="shared" ref="P34" si="88">N34+O34</f>
        <v>1.3834263420300843</v>
      </c>
      <c r="Q34" s="88">
        <f t="shared" ref="Q34" si="89">A34</f>
        <v>2038</v>
      </c>
    </row>
    <row r="35" spans="1:17">
      <c r="A35" s="88" t="s">
        <v>146</v>
      </c>
      <c r="B35" s="23">
        <v>3.5000000000000003E-2</v>
      </c>
      <c r="C35" s="76"/>
      <c r="D35" s="23">
        <v>0.15</v>
      </c>
      <c r="E35" s="82">
        <f>E36-E34</f>
        <v>7.5343166955421981E-2</v>
      </c>
      <c r="F35" s="23">
        <f>F$6</f>
        <v>0.14631279698941668</v>
      </c>
      <c r="G35" s="82">
        <f>G36-G34</f>
        <v>4.5279773681537683E-2</v>
      </c>
      <c r="H35" s="23">
        <f>H$6</f>
        <v>6.4554207985248802E-2</v>
      </c>
      <c r="I35" s="82">
        <f>I36-I34</f>
        <v>1.3562599879219095E-3</v>
      </c>
      <c r="J35" s="23">
        <f>J$6</f>
        <v>3.3019013366860861E-2</v>
      </c>
      <c r="K35" s="82">
        <f>K36-K34</f>
        <v>-7.2114375050972776E-6</v>
      </c>
      <c r="L35" s="23">
        <v>0</v>
      </c>
      <c r="M35" s="82">
        <f>M36-M34</f>
        <v>-3.485001388626327E-3</v>
      </c>
      <c r="N35" s="80">
        <f>N36-N34</f>
        <v>0.11848698779875022</v>
      </c>
      <c r="O35" s="87">
        <f>O36-O34</f>
        <v>-4.0000000000000008E-2</v>
      </c>
      <c r="P35" s="91">
        <f t="shared" si="8"/>
        <v>7.8486987798750213E-2</v>
      </c>
      <c r="Q35" s="88"/>
    </row>
    <row r="36" spans="1:17">
      <c r="A36" s="88">
        <v>2039</v>
      </c>
      <c r="B36" s="13">
        <f>(1+B35)*B34</f>
        <v>46849559769011.93</v>
      </c>
      <c r="C36" s="76">
        <f t="shared" ref="C36" si="90">B36/$B36</f>
        <v>1</v>
      </c>
      <c r="D36" s="13">
        <f>(1+D35)*D34</f>
        <v>35297942034646.859</v>
      </c>
      <c r="E36" s="76">
        <f t="shared" ref="E36" si="91">D36/$B36</f>
        <v>0.7534316695542197</v>
      </c>
      <c r="F36" s="13">
        <f>(1+F35)*F34</f>
        <v>21845792638587.871</v>
      </c>
      <c r="G36" s="76">
        <f t="shared" ref="G36" si="92">F36/$B36</f>
        <v>0.46629664710398205</v>
      </c>
      <c r="H36" s="13">
        <f>(1+H35)*H34</f>
        <v>2288742422489.8413</v>
      </c>
      <c r="I36" s="76">
        <f t="shared" ref="I36" si="93">H36/$B36</f>
        <v>4.8853018764195559E-2</v>
      </c>
      <c r="J36" s="13">
        <f>(1+J35)*J34</f>
        <v>176178995094.4816</v>
      </c>
      <c r="K36" s="76">
        <f t="shared" ref="K36" si="94">J36/$B36</f>
        <v>3.7605261599707291E-3</v>
      </c>
      <c r="L36" s="13">
        <f>(1+L35)*L34</f>
        <v>4664879452901.1055</v>
      </c>
      <c r="M36" s="76">
        <f t="shared" ref="M36" si="95">L36/$B36</f>
        <v>9.9571468246466496E-2</v>
      </c>
      <c r="N36" s="83">
        <f t="shared" ref="N36" si="96">E36+G36+I36+K36+M36</f>
        <v>1.3719133298288346</v>
      </c>
      <c r="O36" s="84">
        <v>0.09</v>
      </c>
      <c r="P36" s="90">
        <f t="shared" ref="P36" si="97">N36+O36</f>
        <v>1.4619133298288347</v>
      </c>
      <c r="Q36" s="88">
        <f t="shared" ref="Q36" si="98">A36</f>
        <v>2039</v>
      </c>
    </row>
    <row r="37" spans="1:17">
      <c r="A37" s="88" t="s">
        <v>146</v>
      </c>
      <c r="B37" s="23">
        <v>0.04</v>
      </c>
      <c r="C37" s="76"/>
      <c r="D37" s="23">
        <v>0.15</v>
      </c>
      <c r="E37" s="82">
        <f>E38-E36</f>
        <v>7.9689888125926922E-2</v>
      </c>
      <c r="F37" s="23">
        <f>F$6</f>
        <v>0.14631279698941668</v>
      </c>
      <c r="G37" s="82">
        <f>G38-G36</f>
        <v>4.7666635365780141E-2</v>
      </c>
      <c r="H37" s="23">
        <f>H$6</f>
        <v>6.4554207985248802E-2</v>
      </c>
      <c r="I37" s="82">
        <f>I38-I36</f>
        <v>1.1534107533108864E-3</v>
      </c>
      <c r="J37" s="23">
        <f>J$6</f>
        <v>3.3019013366860861E-2</v>
      </c>
      <c r="K37" s="82">
        <f>K38-K36</f>
        <v>-2.5242483515697505E-5</v>
      </c>
      <c r="L37" s="23">
        <v>0</v>
      </c>
      <c r="M37" s="82">
        <f>M38-M36</f>
        <v>-3.8296718556333348E-3</v>
      </c>
      <c r="N37" s="80">
        <f>N38-N36</f>
        <v>0.12465501990586891</v>
      </c>
      <c r="O37" s="87">
        <f>O38-O36</f>
        <v>-3.9999999999999994E-2</v>
      </c>
      <c r="P37" s="91">
        <f t="shared" si="8"/>
        <v>8.465501990586892E-2</v>
      </c>
      <c r="Q37" s="88"/>
    </row>
    <row r="38" spans="1:17">
      <c r="A38" s="88">
        <v>2040</v>
      </c>
      <c r="B38" s="13">
        <f>(1+B37)*B36</f>
        <v>48723542159772.406</v>
      </c>
      <c r="C38" s="76">
        <f t="shared" ref="C38" si="99">B38/$B38</f>
        <v>1</v>
      </c>
      <c r="D38" s="13">
        <f>(1+D37)*D36</f>
        <v>40592633339843.883</v>
      </c>
      <c r="E38" s="76">
        <f t="shared" ref="E38" si="100">D38/$B38</f>
        <v>0.83312155768014662</v>
      </c>
      <c r="F38" s="13">
        <f>(1+F37)*F36</f>
        <v>25042111661990.473</v>
      </c>
      <c r="G38" s="76">
        <f t="shared" ref="G38" si="101">F38/$B38</f>
        <v>0.51396328246976219</v>
      </c>
      <c r="H38" s="13">
        <f>(1+H37)*H36</f>
        <v>2436490376855.9126</v>
      </c>
      <c r="I38" s="76">
        <f t="shared" ref="I38" si="102">H38/$B38</f>
        <v>5.0006429517506445E-2</v>
      </c>
      <c r="J38" s="13">
        <f>(1+J37)*J36</f>
        <v>181996251688.4664</v>
      </c>
      <c r="K38" s="76">
        <f t="shared" ref="K38" si="103">J38/$B38</f>
        <v>3.7352836764550316E-3</v>
      </c>
      <c r="L38" s="13">
        <f>(1+L37)*L36</f>
        <v>4664879452901.1055</v>
      </c>
      <c r="M38" s="76">
        <f t="shared" ref="M38" si="104">L38/$B38</f>
        <v>9.5741796390833162E-2</v>
      </c>
      <c r="N38" s="83">
        <f t="shared" ref="N38" si="105">E38+G38+I38+K38+M38</f>
        <v>1.4965683497347035</v>
      </c>
      <c r="O38" s="84">
        <v>0.05</v>
      </c>
      <c r="P38" s="90">
        <f t="shared" ref="P38" si="106">N38+O38</f>
        <v>1.5465683497347036</v>
      </c>
      <c r="Q38" s="88">
        <f t="shared" ref="Q38" si="107">A38</f>
        <v>2040</v>
      </c>
    </row>
    <row r="39" spans="1:17">
      <c r="A39" s="88" t="s">
        <v>146</v>
      </c>
      <c r="B39" s="23">
        <v>0.04</v>
      </c>
      <c r="C39" s="76"/>
      <c r="D39" s="23">
        <v>0.14000000000000001</v>
      </c>
      <c r="E39" s="82">
        <f>E40-E38</f>
        <v>8.010784208462951E-2</v>
      </c>
      <c r="F39" s="23">
        <v>0.14000000000000001</v>
      </c>
      <c r="G39" s="82">
        <f>G40-G38</f>
        <v>4.9419546391323288E-2</v>
      </c>
      <c r="H39" s="23">
        <f>H$6</f>
        <v>6.4554207985248802E-2</v>
      </c>
      <c r="I39" s="82">
        <f>I40-I38</f>
        <v>1.1806425682428234E-3</v>
      </c>
      <c r="J39" s="23">
        <f>J$6</f>
        <v>3.3019013366860861E-2</v>
      </c>
      <c r="K39" s="82">
        <f>K40-K38</f>
        <v>-2.5073043669534591E-5</v>
      </c>
      <c r="L39" s="23">
        <v>0</v>
      </c>
      <c r="M39" s="82">
        <f>M40-M38</f>
        <v>-3.6823767842628086E-3</v>
      </c>
      <c r="N39" s="80">
        <f>N40-N38</f>
        <v>0.12700058121626312</v>
      </c>
      <c r="O39" s="87">
        <f>O40-O38</f>
        <v>-3.0000000000000002E-2</v>
      </c>
      <c r="P39" s="91">
        <f t="shared" si="8"/>
        <v>9.7000581216263121E-2</v>
      </c>
      <c r="Q39" s="88"/>
    </row>
    <row r="40" spans="1:17">
      <c r="A40" s="88">
        <v>2041</v>
      </c>
      <c r="B40" s="13">
        <f>(1+B39)*B38</f>
        <v>50672483846163.305</v>
      </c>
      <c r="C40" s="76">
        <f t="shared" ref="C40" si="108">B40/$B40</f>
        <v>1</v>
      </c>
      <c r="D40" s="13">
        <f>(1+D39)*D38</f>
        <v>46275602007422.031</v>
      </c>
      <c r="E40" s="76">
        <f t="shared" ref="E40" si="109">D40/$B40</f>
        <v>0.91322939976477613</v>
      </c>
      <c r="F40" s="13">
        <f>(1+F39)*F38</f>
        <v>28548007294669.141</v>
      </c>
      <c r="G40" s="76">
        <f t="shared" ref="G40" si="110">F40/$B40</f>
        <v>0.56338282886108548</v>
      </c>
      <c r="H40" s="13">
        <f>(1+H39)*H38</f>
        <v>2593776083397.5264</v>
      </c>
      <c r="I40" s="76">
        <f t="shared" ref="I40" si="111">H40/$B40</f>
        <v>5.1187072085749269E-2</v>
      </c>
      <c r="J40" s="13">
        <f>(1+J39)*J38</f>
        <v>188005588355.68643</v>
      </c>
      <c r="K40" s="76">
        <f t="shared" ref="K40" si="112">J40/$B40</f>
        <v>3.710210632785497E-3</v>
      </c>
      <c r="L40" s="13">
        <f>(1+L39)*L38</f>
        <v>4664879452901.1055</v>
      </c>
      <c r="M40" s="76">
        <f t="shared" ref="M40" si="113">L40/$B40</f>
        <v>9.2059419606570353E-2</v>
      </c>
      <c r="N40" s="83">
        <f t="shared" ref="N40" si="114">E40+G40+I40+K40+M40</f>
        <v>1.6235689309509667</v>
      </c>
      <c r="O40" s="84">
        <v>0.02</v>
      </c>
      <c r="P40" s="90">
        <f t="shared" ref="P40" si="115">N40+O40</f>
        <v>1.6435689309509667</v>
      </c>
      <c r="Q40" s="88">
        <f t="shared" ref="Q40" si="116">A40</f>
        <v>2041</v>
      </c>
    </row>
    <row r="41" spans="1:17">
      <c r="A41" s="88" t="s">
        <v>146</v>
      </c>
      <c r="B41" s="23">
        <v>0.04</v>
      </c>
      <c r="C41" s="76"/>
      <c r="D41" s="23">
        <v>0.1</v>
      </c>
      <c r="E41" s="82">
        <f>E42-E40</f>
        <v>5.2686311524891116E-2</v>
      </c>
      <c r="F41" s="23">
        <v>0.1</v>
      </c>
      <c r="G41" s="82">
        <f>G42-G40</f>
        <v>3.2502855511216566E-2</v>
      </c>
      <c r="H41" s="23">
        <f>H$6</f>
        <v>6.4554207985248802E-2</v>
      </c>
      <c r="I41" s="82">
        <f>I42-I40</f>
        <v>1.2085173212975156E-3</v>
      </c>
      <c r="J41" s="23">
        <f>J$6</f>
        <v>3.3019013366860861E-2</v>
      </c>
      <c r="K41" s="82">
        <f>K42-K40</f>
        <v>-2.4904741186159828E-5</v>
      </c>
      <c r="L41" s="23">
        <v>0</v>
      </c>
      <c r="M41" s="82">
        <f>M42-M40</f>
        <v>-3.5407469079450082E-3</v>
      </c>
      <c r="N41" s="80">
        <f>N42-N40</f>
        <v>8.2832032708274106E-2</v>
      </c>
      <c r="O41" s="87">
        <f>O42-O40</f>
        <v>-0.02</v>
      </c>
      <c r="P41" s="91">
        <f t="shared" si="8"/>
        <v>6.2832032708274102E-2</v>
      </c>
      <c r="Q41" s="88"/>
    </row>
    <row r="42" spans="1:17">
      <c r="A42" s="88">
        <v>2042</v>
      </c>
      <c r="B42" s="13">
        <f>(1+B41)*B40</f>
        <v>52699383200009.836</v>
      </c>
      <c r="C42" s="76">
        <f t="shared" ref="C42" si="117">B42/$B42</f>
        <v>1</v>
      </c>
      <c r="D42" s="13">
        <f>(1+D41)*D40</f>
        <v>50903162208164.242</v>
      </c>
      <c r="E42" s="76">
        <f t="shared" ref="E42" si="118">D42/$B42</f>
        <v>0.96591571128966724</v>
      </c>
      <c r="F42" s="13">
        <f>(1+F41)*F40</f>
        <v>31402808024136.059</v>
      </c>
      <c r="G42" s="76">
        <f t="shared" ref="G42" si="119">F42/$B42</f>
        <v>0.59588568437230205</v>
      </c>
      <c r="H42" s="13">
        <f>(1+H41)*H40</f>
        <v>2761215244152.3345</v>
      </c>
      <c r="I42" s="76">
        <f t="shared" ref="I42" si="120">H42/$B42</f>
        <v>5.2395589407046785E-2</v>
      </c>
      <c r="J42" s="13">
        <f>(1+J41)*J40</f>
        <v>194213347390.64737</v>
      </c>
      <c r="K42" s="76">
        <f t="shared" ref="K42" si="121">J42/$B42</f>
        <v>3.6853058915993372E-3</v>
      </c>
      <c r="L42" s="13">
        <f>(1+L41)*L40</f>
        <v>4664879452901.1055</v>
      </c>
      <c r="M42" s="76">
        <f t="shared" ref="M42" si="122">L42/$B42</f>
        <v>8.8518672698625345E-2</v>
      </c>
      <c r="N42" s="83">
        <f t="shared" ref="N42" si="123">E42+G42+I42+K42+M42</f>
        <v>1.7064009636592408</v>
      </c>
      <c r="O42" s="84">
        <v>0</v>
      </c>
      <c r="P42" s="90">
        <f t="shared" ref="P42" si="124">N42+O42</f>
        <v>1.7064009636592408</v>
      </c>
      <c r="Q42" s="88">
        <f t="shared" ref="Q42" si="125">A42</f>
        <v>2042</v>
      </c>
    </row>
    <row r="43" spans="1:17">
      <c r="A43" s="88" t="s">
        <v>146</v>
      </c>
      <c r="B43" s="23">
        <v>0.04</v>
      </c>
      <c r="C43" s="76"/>
      <c r="D43" s="23">
        <v>4.4999999999999998E-2</v>
      </c>
      <c r="E43" s="82">
        <f>E44-E42</f>
        <v>4.6438255350463864E-3</v>
      </c>
      <c r="F43" s="23">
        <v>0.04</v>
      </c>
      <c r="G43" s="82">
        <f>G44-G42</f>
        <v>0</v>
      </c>
      <c r="H43" s="23">
        <v>0.04</v>
      </c>
      <c r="I43" s="82">
        <f>I44-I42</f>
        <v>0</v>
      </c>
      <c r="J43" s="23">
        <f>J$6</f>
        <v>3.3019013366860861E-2</v>
      </c>
      <c r="K43" s="82">
        <f>K44-K42</f>
        <v>-2.4737568431042623E-5</v>
      </c>
      <c r="L43" s="23">
        <v>0</v>
      </c>
      <c r="M43" s="82">
        <f>M44-M42</f>
        <v>-3.4045643345625293E-3</v>
      </c>
      <c r="N43" s="80">
        <f>N44-N42</f>
        <v>1.2145236320526553E-3</v>
      </c>
      <c r="O43" s="87">
        <f>O44-O42</f>
        <v>0</v>
      </c>
      <c r="P43" s="91">
        <f t="shared" si="8"/>
        <v>1.2145236320526553E-3</v>
      </c>
      <c r="Q43" s="88"/>
    </row>
    <row r="44" spans="1:17">
      <c r="A44" s="88">
        <v>2043</v>
      </c>
      <c r="B44" s="13">
        <f>(1+B43)*B42</f>
        <v>54807358528010.234</v>
      </c>
      <c r="C44" s="76">
        <f t="shared" ref="C44" si="126">B44/$B44</f>
        <v>1</v>
      </c>
      <c r="D44" s="13">
        <f>(1+D43)*D42</f>
        <v>53193804507531.633</v>
      </c>
      <c r="E44" s="76">
        <f t="shared" ref="E44" si="127">D44/$B44</f>
        <v>0.97055953682471363</v>
      </c>
      <c r="F44" s="13">
        <f>(1+F43)*F42</f>
        <v>32658920345101.504</v>
      </c>
      <c r="G44" s="76">
        <f t="shared" ref="G44" si="128">F44/$B44</f>
        <v>0.59588568437230205</v>
      </c>
      <c r="H44" s="13">
        <f>(1+H43)*H42</f>
        <v>2871663853918.4277</v>
      </c>
      <c r="I44" s="76">
        <f t="shared" ref="I44" si="129">H44/$B44</f>
        <v>5.2395589407046778E-2</v>
      </c>
      <c r="J44" s="13">
        <f>(1+J43)*J42</f>
        <v>200626080504.16196</v>
      </c>
      <c r="K44" s="76">
        <f t="shared" ref="K44" si="130">J44/$B44</f>
        <v>3.6605683231682945E-3</v>
      </c>
      <c r="L44" s="13">
        <f>(1+L43)*L42</f>
        <v>4664879452901.1055</v>
      </c>
      <c r="M44" s="76">
        <f t="shared" ref="M44" si="131">L44/$B44</f>
        <v>8.5114108364062815E-2</v>
      </c>
      <c r="N44" s="83">
        <f t="shared" ref="N44" si="132">E44+G44+I44+K44+M44</f>
        <v>1.7076154872912934</v>
      </c>
      <c r="O44" s="84">
        <v>0</v>
      </c>
      <c r="P44" s="90">
        <f t="shared" ref="P44" si="133">N44+O44</f>
        <v>1.7076154872912934</v>
      </c>
      <c r="Q44" s="88">
        <f t="shared" ref="Q44" si="134">A44</f>
        <v>2043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E=mc2</vt:lpstr>
      <vt:lpstr>Global_kWh</vt:lpstr>
      <vt:lpstr>PredictingFutureGrowth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2022-12-17T10:44:43Z</dcterms:modified>
</cp:coreProperties>
</file>